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Wijittre_Aye\Downloads\"/>
    </mc:Choice>
  </mc:AlternateContent>
  <bookViews>
    <workbookView xWindow="0" yWindow="0" windowWidth="23040" windowHeight="9408"/>
  </bookViews>
  <sheets>
    <sheet name="คณะ" sheetId="1" r:id="rId1"/>
    <sheet name="ผลวิเคราะห์" sheetId="2" r:id="rId2"/>
  </sheets>
  <definedNames>
    <definedName name="_xlnm.Print_Area" localSheetId="0">คณะ!$A$1:$K$34</definedName>
    <definedName name="_xlnm.Print_Area" localSheetId="1">ผลวิเคราะห์!$A$1:$G$16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B19" i="1" l="1"/>
  <c r="CB18" i="1"/>
  <c r="CA19" i="1"/>
  <c r="CA18" i="1"/>
  <c r="CA16" i="1"/>
  <c r="CB16" i="1" s="1"/>
  <c r="CA15" i="1"/>
  <c r="CB15" i="1" s="1"/>
  <c r="CB13" i="1"/>
  <c r="CB12" i="1"/>
  <c r="CA13" i="1"/>
  <c r="CA12" i="1"/>
  <c r="F19" i="1" l="1"/>
  <c r="F18" i="1"/>
  <c r="F16" i="1"/>
  <c r="F13" i="1" l="1"/>
  <c r="L28" i="1" l="1"/>
  <c r="L27" i="1"/>
  <c r="L26" i="1"/>
  <c r="L23" i="1" l="1"/>
  <c r="L24" i="1"/>
  <c r="L25" i="1"/>
  <c r="L19" i="1" l="1"/>
  <c r="L18" i="1"/>
  <c r="L16" i="1"/>
  <c r="L13" i="1"/>
  <c r="F11" i="1" l="1"/>
  <c r="L11" i="1" s="1"/>
  <c r="F9" i="1" l="1"/>
  <c r="B1" i="2" l="1"/>
  <c r="D10" i="2"/>
  <c r="E9" i="2"/>
  <c r="D9" i="2"/>
  <c r="L33" i="1" l="1"/>
  <c r="CH32" i="1"/>
  <c r="CF32" i="1"/>
  <c r="CE32" i="1"/>
  <c r="CD32" i="1"/>
  <c r="CC32" i="1"/>
  <c r="CB32" i="1"/>
  <c r="CA32" i="1"/>
  <c r="CG32" i="1" s="1"/>
  <c r="CI31" i="1"/>
  <c r="CG31" i="1"/>
  <c r="CF31" i="1"/>
  <c r="CE31" i="1"/>
  <c r="CD31" i="1"/>
  <c r="CC31" i="1"/>
  <c r="CB31" i="1"/>
  <c r="CA31" i="1"/>
  <c r="CH31" i="1" s="1"/>
  <c r="CI30" i="1"/>
  <c r="CG30" i="1"/>
  <c r="CF30" i="1"/>
  <c r="CE30" i="1"/>
  <c r="CD30" i="1"/>
  <c r="CC30" i="1"/>
  <c r="CB30" i="1"/>
  <c r="CA30" i="1"/>
  <c r="CH30" i="1" s="1"/>
  <c r="CH29" i="1"/>
  <c r="CF29" i="1"/>
  <c r="CE29" i="1"/>
  <c r="CD29" i="1"/>
  <c r="CC29" i="1"/>
  <c r="CB29" i="1"/>
  <c r="CA29" i="1"/>
  <c r="J28" i="1"/>
  <c r="J27" i="1"/>
  <c r="J26" i="1"/>
  <c r="CB25" i="1"/>
  <c r="CA25" i="1"/>
  <c r="CB24" i="1"/>
  <c r="CA24" i="1"/>
  <c r="CB23" i="1"/>
  <c r="CA23" i="1"/>
  <c r="CH22" i="1"/>
  <c r="CF22" i="1"/>
  <c r="CE22" i="1"/>
  <c r="CD22" i="1"/>
  <c r="CC22" i="1"/>
  <c r="CB22" i="1"/>
  <c r="CA22" i="1"/>
  <c r="CG22" i="1" s="1"/>
  <c r="CH21" i="1"/>
  <c r="CG21" i="1"/>
  <c r="K21" i="1" s="1"/>
  <c r="CF21" i="1"/>
  <c r="CE21" i="1"/>
  <c r="CD21" i="1"/>
  <c r="CC21" i="1"/>
  <c r="CB21" i="1"/>
  <c r="CA21" i="1"/>
  <c r="CI21" i="1" s="1"/>
  <c r="L21" i="1" s="1"/>
  <c r="CH20" i="1"/>
  <c r="CF20" i="1"/>
  <c r="CE20" i="1"/>
  <c r="CD20" i="1"/>
  <c r="CC20" i="1"/>
  <c r="CB20" i="1"/>
  <c r="CG20" i="1" s="1"/>
  <c r="K20" i="1" s="1"/>
  <c r="CA20" i="1"/>
  <c r="CI20" i="1" s="1"/>
  <c r="F17" i="1"/>
  <c r="L17" i="1" s="1"/>
  <c r="F15" i="1"/>
  <c r="L15" i="1" s="1"/>
  <c r="F14" i="1"/>
  <c r="L14" i="1" s="1"/>
  <c r="F12" i="1"/>
  <c r="L12" i="1" s="1"/>
  <c r="CA11" i="1"/>
  <c r="CB11" i="1" s="1"/>
  <c r="L10" i="1"/>
  <c r="I10" i="1"/>
  <c r="K10" i="1" s="1"/>
  <c r="G10" i="1"/>
  <c r="F10" i="1"/>
  <c r="L9" i="1"/>
  <c r="I9" i="1"/>
  <c r="K9" i="1" s="1"/>
  <c r="G9" i="1"/>
  <c r="L8" i="1"/>
  <c r="L7" i="1"/>
  <c r="K7" i="1"/>
  <c r="I7" i="1"/>
  <c r="G7" i="1"/>
  <c r="L3" i="1"/>
  <c r="CG29" i="1" l="1"/>
  <c r="CA14" i="1"/>
  <c r="CB14" i="1" s="1"/>
  <c r="CA17" i="1"/>
  <c r="CB17" i="1" s="1"/>
  <c r="K23" i="1"/>
  <c r="K26" i="1"/>
  <c r="L20" i="1"/>
  <c r="CI32" i="1"/>
  <c r="L32" i="1" s="1"/>
  <c r="CI22" i="1"/>
  <c r="L22" i="1" s="1"/>
  <c r="CI29" i="1"/>
  <c r="L29" i="1" s="1"/>
  <c r="CJ30" i="1"/>
  <c r="L30" i="1" s="1"/>
  <c r="CJ31" i="1"/>
  <c r="L31" i="1" s="1"/>
  <c r="K11" i="1" l="1"/>
  <c r="C15" i="2" s="1"/>
  <c r="C16" i="2" s="1"/>
  <c r="F10" i="2"/>
  <c r="G10" i="2" s="1"/>
  <c r="E10" i="2"/>
  <c r="E15" i="2"/>
  <c r="E16" i="2" s="1"/>
  <c r="C10" i="2"/>
  <c r="K22" i="1"/>
  <c r="K30" i="1"/>
  <c r="K31" i="1"/>
  <c r="K29" i="1"/>
  <c r="K32" i="1"/>
  <c r="F12" i="2" l="1"/>
  <c r="G12" i="2" s="1"/>
  <c r="D12" i="2"/>
  <c r="F11" i="2"/>
  <c r="G11" i="2" s="1"/>
  <c r="D11" i="2"/>
  <c r="F13" i="2"/>
  <c r="G13" i="2" s="1"/>
  <c r="D15" i="2"/>
  <c r="D16" i="2" s="1"/>
  <c r="D13" i="2"/>
  <c r="F9" i="2"/>
  <c r="G9" i="2" s="1"/>
  <c r="C9" i="2"/>
  <c r="K33" i="1"/>
  <c r="B34" i="1" l="1"/>
  <c r="F15" i="2"/>
  <c r="G15" i="2" s="1"/>
</calcChain>
</file>

<file path=xl/comments1.xml><?xml version="1.0" encoding="utf-8"?>
<comments xmlns="http://schemas.openxmlformats.org/spreadsheetml/2006/main">
  <authors>
    <author>svoa108</author>
    <author>A</author>
    <author>BUUIC</author>
  </authors>
  <commentList>
    <comment ref="A2" authorId="0" shapeId="0">
      <text>
        <r>
          <rPr>
            <b/>
            <sz val="20"/>
            <color indexed="81"/>
            <rFont val="TH SarabunPSK"/>
            <family val="2"/>
          </rPr>
          <t>ใส่ชื่อคณะ
ที่ทำการประเมิน</t>
        </r>
      </text>
    </comment>
    <comment ref="B3" authorId="0" shapeId="0">
      <text>
        <r>
          <rPr>
            <b/>
            <sz val="20"/>
            <color indexed="81"/>
            <rFont val="TH SarabunPSK"/>
            <family val="2"/>
          </rPr>
          <t>ใส่จำนวนหลักสูตรที่คณะ
รับผิดชอบทั้งหมดทุกระดับ</t>
        </r>
      </text>
    </comment>
    <comment ref="G3" authorId="0" shapeId="0">
      <text>
        <r>
          <rPr>
            <b/>
            <sz val="20"/>
            <color indexed="81"/>
            <rFont val="TH SarabunPSK"/>
            <family val="2"/>
          </rPr>
          <t xml:space="preserve">ใส่เลขกลุ่มสถาบัน
</t>
        </r>
        <r>
          <rPr>
            <b/>
            <sz val="20"/>
            <color indexed="12"/>
            <rFont val="TH SarabunPSK"/>
            <family val="2"/>
          </rPr>
          <t>1 = สถาบันกลุ่ม ข และ ค2</t>
        </r>
        <r>
          <rPr>
            <b/>
            <sz val="20"/>
            <color indexed="81"/>
            <rFont val="TH SarabunPSK"/>
            <family val="2"/>
          </rPr>
          <t xml:space="preserve">
</t>
        </r>
        <r>
          <rPr>
            <b/>
            <sz val="20"/>
            <color indexed="10"/>
            <rFont val="TH SarabunPSK"/>
            <family val="2"/>
          </rPr>
          <t>2 = สถาบันกลุ่ม ค1 และ ง</t>
        </r>
      </text>
    </comment>
    <comment ref="B7" authorId="1" shapeId="0">
      <text>
        <r>
          <rPr>
            <b/>
            <sz val="20"/>
            <color indexed="81"/>
            <rFont val="TH SarabunPSK"/>
            <family val="2"/>
          </rPr>
          <t>ผลรวมของค่าคะแนน
ประเมินของทุกหลักสูตร</t>
        </r>
      </text>
    </comment>
    <comment ref="B8" authorId="1" shapeId="0">
      <text>
        <r>
          <rPr>
            <b/>
            <sz val="20"/>
            <color indexed="81"/>
            <rFont val="TH SarabunPSK"/>
            <family val="2"/>
          </rPr>
          <t>จำนวนหลักสูตรทั้งหมด
ที่คณะรับผิดชอบ</t>
        </r>
      </text>
    </comment>
    <comment ref="B9" authorId="1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จำนวนอาจารย์ประจำคณะ
ที่มีคุณวุฒิปริญญาเอก</t>
        </r>
      </text>
    </comment>
    <comment ref="D9" authorId="1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
คณะทั้งหมด</t>
        </r>
      </text>
    </comment>
    <comment ref="B10" authorId="1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จำนวนอาจารย์ประจำคณะ
ที่ดำรงตำแหน่งทางวิชาการ</t>
        </r>
      </text>
    </comment>
    <comment ref="D10" authorId="1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
คณะทั้งหมด</t>
        </r>
      </text>
    </comment>
    <comment ref="F11" authorId="0" shapeId="0">
      <text>
        <r>
          <rPr>
            <b/>
            <sz val="20"/>
            <color indexed="81"/>
            <rFont val="TH SarabunPSK"/>
            <family val="2"/>
          </rPr>
          <t>จำนวนนักศึกษา
เต็มเวลาเทียบเท่า
ต่อปี (FTES)</t>
        </r>
      </text>
    </comment>
    <comment ref="H11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
ที่ปฏิบัติงานจริง ในกลุ่ม
สาขาวิชาทั้งหมด</t>
        </r>
      </text>
    </comment>
    <comment ref="J11" authorId="0" shapeId="0">
      <text>
        <r>
          <rPr>
            <b/>
            <sz val="20"/>
            <color indexed="81"/>
            <rFont val="TH SarabunPSK"/>
            <family val="2"/>
          </rPr>
          <t>จำนวนนักศึกษาเต็มเวลา
ต่ออาจารย์ประจำ 1 คน
ตามเกณฑ์มาตรฐาน</t>
        </r>
      </text>
    </comment>
    <comment ref="P11" authorId="0" shapeId="0">
      <text>
        <r>
          <rPr>
            <b/>
            <sz val="20"/>
            <color indexed="81"/>
            <rFont val="TH SarabunPSK"/>
            <family val="2"/>
          </rPr>
          <t>FTES ระดับปริญญาตรี
สาขาวิชาวิทยาศาสตร์
และเทคโนโลยี</t>
        </r>
      </text>
    </comment>
    <comment ref="Q11" authorId="0" shapeId="0">
      <text>
        <r>
          <rPr>
            <b/>
            <sz val="20"/>
            <color indexed="81"/>
            <rFont val="TH SarabunPSK"/>
            <family val="2"/>
          </rPr>
          <t>FTES ระดับบัณฑิตศึกษา
สาขาวิชาวิทยาศาสตร์
และเทคโนโลยี</t>
        </r>
      </text>
    </comment>
    <comment ref="CA11" authorId="2" shapeId="0">
      <text>
        <r>
          <rPr>
            <b/>
            <sz val="20"/>
            <color indexed="81"/>
            <rFont val="TH SarabunPSK"/>
            <family val="2"/>
          </rPr>
          <t>ค่าร้อยละความแตกต่าง
จากเกณฑ์มาตรฐาน</t>
        </r>
      </text>
    </comment>
    <comment ref="CB11" authorId="2" shapeId="0">
      <text>
        <r>
          <rPr>
            <b/>
            <sz val="20"/>
            <color indexed="81"/>
            <rFont val="TH SarabunPSK"/>
            <family val="2"/>
          </rPr>
          <t>คะแนนที่ได้</t>
        </r>
      </text>
    </comment>
    <comment ref="F12" authorId="0" shapeId="0">
      <text>
        <r>
          <rPr>
            <b/>
            <sz val="20"/>
            <color indexed="81"/>
            <rFont val="TH SarabunPSK"/>
            <family val="2"/>
          </rPr>
          <t>จำนวนนักศึกษา
เต็มเวลาเทียบเท่า
ต่อปี (FTES)</t>
        </r>
      </text>
    </comment>
    <comment ref="H12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
ที่ปฏิบัติงานจริง ในกลุ่ม
สาขาวิชาทั้งหมด</t>
        </r>
      </text>
    </comment>
    <comment ref="J12" authorId="0" shapeId="0">
      <text>
        <r>
          <rPr>
            <b/>
            <sz val="20"/>
            <color indexed="81"/>
            <rFont val="TH SarabunPSK"/>
            <family val="2"/>
          </rPr>
          <t>จำนวนนักศึกษาเต็มเวลา
ต่ออาจารย์ประจำ 1 คน
ตามเกณฑ์มาตรฐาน</t>
        </r>
      </text>
    </comment>
    <comment ref="P12" authorId="0" shapeId="0">
      <text>
        <r>
          <rPr>
            <b/>
            <sz val="20"/>
            <color indexed="81"/>
            <rFont val="TH SarabunPSK"/>
            <family val="2"/>
          </rPr>
          <t>FTES ระดับปริญญาตรี
สาขาวิชาวิทยาศาสตร์
และเทคโนโลยี</t>
        </r>
      </text>
    </comment>
    <comment ref="Q12" authorId="0" shapeId="0">
      <text>
        <r>
          <rPr>
            <b/>
            <sz val="20"/>
            <color indexed="81"/>
            <rFont val="TH SarabunPSK"/>
            <family val="2"/>
          </rPr>
          <t>FTES ระดับบัณฑิตศึกษา
สาขาวิชาวิทยาศาสตร์
และเทคโนโลยี</t>
        </r>
      </text>
    </comment>
    <comment ref="CA12" authorId="2" shapeId="0">
      <text>
        <r>
          <rPr>
            <b/>
            <sz val="20"/>
            <color indexed="81"/>
            <rFont val="TH SarabunPSK"/>
            <family val="2"/>
          </rPr>
          <t>ค่าร้อยละความแตกต่าง
จากเกณฑ์มาตรฐาน</t>
        </r>
      </text>
    </comment>
    <comment ref="CB12" authorId="2" shapeId="0">
      <text>
        <r>
          <rPr>
            <b/>
            <sz val="20"/>
            <color indexed="81"/>
            <rFont val="TH SarabunPSK"/>
            <family val="2"/>
          </rPr>
          <t>คะแนนที่ได้</t>
        </r>
      </text>
    </comment>
    <comment ref="F13" authorId="0" shapeId="0">
      <text>
        <r>
          <rPr>
            <b/>
            <sz val="20"/>
            <color indexed="81"/>
            <rFont val="TH SarabunPSK"/>
            <family val="2"/>
          </rPr>
          <t>จำนวนนักศึกษา
เต็มเวลาเทียบเท่า
ต่อปี (FTES)</t>
        </r>
      </text>
    </comment>
    <comment ref="H13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
ที่ปฏิบัติงานจริง ในกลุ่ม
สาขาวิชาทั้งหมด</t>
        </r>
      </text>
    </comment>
    <comment ref="J13" authorId="0" shapeId="0">
      <text>
        <r>
          <rPr>
            <b/>
            <sz val="20"/>
            <color indexed="81"/>
            <rFont val="TH SarabunPSK"/>
            <family val="2"/>
          </rPr>
          <t>จำนวนนักศึกษาเต็มเวลา
ต่ออาจารย์ประจำ 1 คน
ตามเกณฑ์มาตรฐาน</t>
        </r>
      </text>
    </comment>
    <comment ref="P13" authorId="0" shapeId="0">
      <text>
        <r>
          <rPr>
            <b/>
            <sz val="20"/>
            <color indexed="81"/>
            <rFont val="TH SarabunPSK"/>
            <family val="2"/>
          </rPr>
          <t>FTES ระดับปริญญาตรี
สาขาวิชาวิทยาศาสตร์
และเทคโนโลยี</t>
        </r>
      </text>
    </comment>
    <comment ref="Q13" authorId="0" shapeId="0">
      <text>
        <r>
          <rPr>
            <b/>
            <sz val="20"/>
            <color indexed="81"/>
            <rFont val="TH SarabunPSK"/>
            <family val="2"/>
          </rPr>
          <t>FTES ระดับบัณฑิตศึกษา
สาขาวิชาวิทยาศาสตร์
และเทคโนโลยี</t>
        </r>
      </text>
    </comment>
    <comment ref="CA13" authorId="2" shapeId="0">
      <text>
        <r>
          <rPr>
            <b/>
            <sz val="20"/>
            <color indexed="81"/>
            <rFont val="TH SarabunPSK"/>
            <family val="2"/>
          </rPr>
          <t>ค่าร้อยละความแตกต่าง
จากเกณฑ์มาตรฐาน</t>
        </r>
      </text>
    </comment>
    <comment ref="CB13" authorId="2" shapeId="0">
      <text>
        <r>
          <rPr>
            <b/>
            <sz val="20"/>
            <color indexed="81"/>
            <rFont val="TH SarabunPSK"/>
            <family val="2"/>
          </rPr>
          <t>คะแนนที่ได้</t>
        </r>
      </text>
    </comment>
    <comment ref="F14" authorId="0" shapeId="0">
      <text>
        <r>
          <rPr>
            <b/>
            <sz val="20"/>
            <color indexed="81"/>
            <rFont val="TH SarabunPSK"/>
            <family val="2"/>
          </rPr>
          <t>จำนวนนักศึกษา
เต็มเวลาเทียบเท่า
ต่อปี (FTES)</t>
        </r>
      </text>
    </comment>
    <comment ref="H14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
ที่ปฏิบัติงานจริง ในกลุ่ม
สาขาวิชาทั้งหมด</t>
        </r>
      </text>
    </comment>
    <comment ref="J14" authorId="0" shapeId="0">
      <text>
        <r>
          <rPr>
            <b/>
            <sz val="20"/>
            <color indexed="81"/>
            <rFont val="TH SarabunPSK"/>
            <family val="2"/>
          </rPr>
          <t>จำนวนนักศึกษาเต็มเวลา
ต่ออาจารย์ประจำ 1 คน
ตามเกณฑ์มาตรฐาน</t>
        </r>
      </text>
    </comment>
    <comment ref="P14" authorId="0" shapeId="0">
      <text>
        <r>
          <rPr>
            <b/>
            <sz val="20"/>
            <color indexed="81"/>
            <rFont val="TH SarabunPSK"/>
            <family val="2"/>
          </rPr>
          <t>FTES ระดับปริญญาตรี
สาขาวิชาวิทยาศาสตร์สุขภาพ</t>
        </r>
      </text>
    </comment>
    <comment ref="Q14" authorId="0" shapeId="0">
      <text>
        <r>
          <rPr>
            <b/>
            <sz val="20"/>
            <color indexed="81"/>
            <rFont val="TH SarabunPSK"/>
            <family val="2"/>
          </rPr>
          <t>FTES ระดับบัณฑิตศึกษา
สาขาวิชาวิทยาศาสตร์สุขภาพ</t>
        </r>
      </text>
    </comment>
    <comment ref="CA14" authorId="2" shapeId="0">
      <text>
        <r>
          <rPr>
            <b/>
            <sz val="20"/>
            <color indexed="81"/>
            <rFont val="TH SarabunPSK"/>
            <family val="2"/>
          </rPr>
          <t>ค่าร้อยละความแตกต่าง
จากเกณฑ์มาตรฐาน</t>
        </r>
      </text>
    </comment>
    <comment ref="CB14" authorId="2" shapeId="0">
      <text>
        <r>
          <rPr>
            <b/>
            <sz val="20"/>
            <color indexed="81"/>
            <rFont val="TH SarabunPSK"/>
            <family val="2"/>
          </rPr>
          <t>คะแนนที่ได้</t>
        </r>
      </text>
    </comment>
    <comment ref="F15" authorId="0" shapeId="0">
      <text>
        <r>
          <rPr>
            <b/>
            <sz val="20"/>
            <color indexed="81"/>
            <rFont val="TH SarabunPSK"/>
            <family val="2"/>
          </rPr>
          <t>จำนวนนักศึกษา
เต็มเวลาเทียบเท่า
ต่อปี (FTES)</t>
        </r>
      </text>
    </comment>
    <comment ref="H15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
ที่ปฏิบัติงานจริง ในกลุ่ม
สาขาวิชาทั้งหมด</t>
        </r>
      </text>
    </comment>
    <comment ref="J15" authorId="0" shapeId="0">
      <text>
        <r>
          <rPr>
            <b/>
            <sz val="20"/>
            <color indexed="81"/>
            <rFont val="TH SarabunPSK"/>
            <family val="2"/>
          </rPr>
          <t>จำนวนนักศึกษาเต็มเวลา
ต่ออาจารย์ประจำ 1 คน
ตามเกณฑ์มาตรฐาน</t>
        </r>
      </text>
    </comment>
    <comment ref="P15" authorId="0" shapeId="0">
      <text>
        <r>
          <rPr>
            <b/>
            <sz val="20"/>
            <color indexed="81"/>
            <rFont val="TH SarabunPSK"/>
            <family val="2"/>
          </rPr>
          <t>FTES ระดับปริญญาตรี
สาขาวิชาวิทยาศาสตร์สุขภาพ</t>
        </r>
      </text>
    </comment>
    <comment ref="Q15" authorId="0" shapeId="0">
      <text>
        <r>
          <rPr>
            <b/>
            <sz val="20"/>
            <color indexed="81"/>
            <rFont val="TH SarabunPSK"/>
            <family val="2"/>
          </rPr>
          <t>FTES ระดับบัณฑิตศึกษา
สาขาวิชาวิทยาศาสตร์สุขภาพ</t>
        </r>
      </text>
    </comment>
    <comment ref="CA15" authorId="2" shapeId="0">
      <text>
        <r>
          <rPr>
            <b/>
            <sz val="20"/>
            <color indexed="81"/>
            <rFont val="TH SarabunPSK"/>
            <family val="2"/>
          </rPr>
          <t>ค่าร้อยละความแตกต่าง
จากเกณฑ์มาตรฐาน</t>
        </r>
      </text>
    </comment>
    <comment ref="CB15" authorId="2" shapeId="0">
      <text>
        <r>
          <rPr>
            <b/>
            <sz val="20"/>
            <color indexed="81"/>
            <rFont val="TH SarabunPSK"/>
            <family val="2"/>
          </rPr>
          <t>คะแนนที่ได้</t>
        </r>
      </text>
    </comment>
    <comment ref="F16" authorId="0" shapeId="0">
      <text>
        <r>
          <rPr>
            <b/>
            <sz val="20"/>
            <color indexed="81"/>
            <rFont val="TH SarabunPSK"/>
            <family val="2"/>
          </rPr>
          <t>จำนวนนักศึกษา
เต็มเวลาเทียบเท่า
ต่อปี (FTES)</t>
        </r>
      </text>
    </comment>
    <comment ref="H16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
ที่ปฏิบัติงานจริง ในกลุ่ม
สาขาวิชาทั้งหมด</t>
        </r>
      </text>
    </comment>
    <comment ref="J16" authorId="0" shapeId="0">
      <text>
        <r>
          <rPr>
            <b/>
            <sz val="20"/>
            <color indexed="81"/>
            <rFont val="TH SarabunPSK"/>
            <family val="2"/>
          </rPr>
          <t>จำนวนนักศึกษาเต็มเวลา
ต่ออาจารย์ประจำ 1 คน
ตามเกณฑ์มาตรฐาน</t>
        </r>
      </text>
    </comment>
    <comment ref="P16" authorId="0" shapeId="0">
      <text>
        <r>
          <rPr>
            <b/>
            <sz val="20"/>
            <color indexed="81"/>
            <rFont val="TH SarabunPSK"/>
            <family val="2"/>
          </rPr>
          <t>FTES ระดับปริญญาตรี
สาขาวิชาวิทยาศาสตร์สุขภาพ</t>
        </r>
      </text>
    </comment>
    <comment ref="Q16" authorId="0" shapeId="0">
      <text>
        <r>
          <rPr>
            <b/>
            <sz val="20"/>
            <color indexed="81"/>
            <rFont val="TH SarabunPSK"/>
            <family val="2"/>
          </rPr>
          <t>FTES ระดับบัณฑิตศึกษา
สาขาวิชาวิทยาศาสตร์สุขภาพ</t>
        </r>
      </text>
    </comment>
    <comment ref="CA16" authorId="2" shapeId="0">
      <text>
        <r>
          <rPr>
            <b/>
            <sz val="20"/>
            <color indexed="81"/>
            <rFont val="TH SarabunPSK"/>
            <family val="2"/>
          </rPr>
          <t>ค่าร้อยละความแตกต่าง
จากเกณฑ์มาตรฐาน</t>
        </r>
      </text>
    </comment>
    <comment ref="CB16" authorId="2" shapeId="0">
      <text>
        <r>
          <rPr>
            <b/>
            <sz val="20"/>
            <color indexed="81"/>
            <rFont val="TH SarabunPSK"/>
            <family val="2"/>
          </rPr>
          <t>คะแนนที่ได้</t>
        </r>
      </text>
    </comment>
    <comment ref="F17" authorId="0" shapeId="0">
      <text>
        <r>
          <rPr>
            <b/>
            <sz val="20"/>
            <color indexed="81"/>
            <rFont val="TH SarabunPSK"/>
            <family val="2"/>
          </rPr>
          <t>จำนวนนักศึกษา
เต็มเวลาเทียบเท่า
ต่อปี (FTES)</t>
        </r>
      </text>
    </comment>
    <comment ref="H17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
ที่ปฏิบัติงานจริง ในกลุ่ม
สาขาวิชาทั้งหมด</t>
        </r>
      </text>
    </comment>
    <comment ref="J17" authorId="0" shapeId="0">
      <text>
        <r>
          <rPr>
            <b/>
            <sz val="20"/>
            <color indexed="81"/>
            <rFont val="TH SarabunPSK"/>
            <family val="2"/>
          </rPr>
          <t>จำนวนนักศึกษาเต็มเวลา
ต่ออาจารย์ประจำ 1 คน
ตามเกณฑ์มาตรฐาน</t>
        </r>
      </text>
    </comment>
    <comment ref="P17" authorId="0" shapeId="0">
      <text>
        <r>
          <rPr>
            <b/>
            <sz val="20"/>
            <color indexed="81"/>
            <rFont val="TH SarabunPSK"/>
            <family val="2"/>
          </rPr>
          <t>FTES ระดับปริญญาตรี
สาขาวิชามนุษยศาสตร์
และสังคมศาสตร์</t>
        </r>
      </text>
    </comment>
    <comment ref="Q17" authorId="0" shapeId="0">
      <text>
        <r>
          <rPr>
            <b/>
            <sz val="20"/>
            <color indexed="81"/>
            <rFont val="TH SarabunPSK"/>
            <family val="2"/>
          </rPr>
          <t>FTES ระดับบัณฑิตศึกษา
สาขาวิชามนุษยศาสตร์
และสังคมศาสตร์</t>
        </r>
      </text>
    </comment>
    <comment ref="CA17" authorId="2" shapeId="0">
      <text>
        <r>
          <rPr>
            <b/>
            <sz val="20"/>
            <color indexed="81"/>
            <rFont val="TH SarabunPSK"/>
            <family val="2"/>
          </rPr>
          <t>ค่าร้อยละความแตกต่าง
จากเกณฑ์มาตรฐาน</t>
        </r>
      </text>
    </comment>
    <comment ref="CB17" authorId="2" shapeId="0">
      <text>
        <r>
          <rPr>
            <b/>
            <sz val="20"/>
            <color indexed="81"/>
            <rFont val="TH SarabunPSK"/>
            <family val="2"/>
          </rPr>
          <t>คะแนนที่ได้</t>
        </r>
      </text>
    </comment>
    <comment ref="F18" authorId="0" shapeId="0">
      <text>
        <r>
          <rPr>
            <b/>
            <sz val="20"/>
            <color indexed="81"/>
            <rFont val="TH SarabunPSK"/>
            <family val="2"/>
          </rPr>
          <t>จำนวนนักศึกษา
เต็มเวลาเทียบเท่า
ต่อปี (FTES)</t>
        </r>
      </text>
    </comment>
    <comment ref="H18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
ที่ปฏิบัติงานจริง ในกลุ่ม
สาขาวิชาทั้งหมด</t>
        </r>
      </text>
    </comment>
    <comment ref="J18" authorId="0" shapeId="0">
      <text>
        <r>
          <rPr>
            <b/>
            <sz val="20"/>
            <color indexed="81"/>
            <rFont val="TH SarabunPSK"/>
            <family val="2"/>
          </rPr>
          <t>จำนวนนักศึกษาเต็มเวลา
ต่ออาจารย์ประจำ 1 คน
ตามเกณฑ์มาตรฐาน</t>
        </r>
      </text>
    </comment>
    <comment ref="P18" authorId="0" shapeId="0">
      <text>
        <r>
          <rPr>
            <b/>
            <sz val="20"/>
            <color indexed="81"/>
            <rFont val="TH SarabunPSK"/>
            <family val="2"/>
          </rPr>
          <t>FTES ระดับปริญญาตรี
สาขาวิชามนุษยศาสตร์
และสังคมศาสตร์</t>
        </r>
      </text>
    </comment>
    <comment ref="Q18" authorId="0" shapeId="0">
      <text>
        <r>
          <rPr>
            <b/>
            <sz val="20"/>
            <color indexed="81"/>
            <rFont val="TH SarabunPSK"/>
            <family val="2"/>
          </rPr>
          <t>FTES ระดับบัณฑิตศึกษา
สาขาวิชามนุษยศาสตร์
และสังคมศาสตร์</t>
        </r>
      </text>
    </comment>
    <comment ref="CA18" authorId="2" shapeId="0">
      <text>
        <r>
          <rPr>
            <b/>
            <sz val="20"/>
            <color indexed="81"/>
            <rFont val="TH SarabunPSK"/>
            <family val="2"/>
          </rPr>
          <t>ค่าร้อยละความแตกต่าง
จากเกณฑ์มาตรฐาน</t>
        </r>
      </text>
    </comment>
    <comment ref="CB18" authorId="2" shapeId="0">
      <text>
        <r>
          <rPr>
            <b/>
            <sz val="20"/>
            <color indexed="81"/>
            <rFont val="TH SarabunPSK"/>
            <family val="2"/>
          </rPr>
          <t>คะแนนที่ได้</t>
        </r>
      </text>
    </comment>
    <comment ref="F19" authorId="0" shapeId="0">
      <text>
        <r>
          <rPr>
            <b/>
            <sz val="20"/>
            <color indexed="81"/>
            <rFont val="TH SarabunPSK"/>
            <family val="2"/>
          </rPr>
          <t>จำนวนนักศึกษา
เต็มเวลาเทียบเท่า
ต่อปี (FTES)</t>
        </r>
      </text>
    </comment>
    <comment ref="H19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
ที่ปฏิบัติงานจริง ในกลุ่ม
สาขาวิชาทั้งหมด</t>
        </r>
      </text>
    </comment>
    <comment ref="J19" authorId="0" shapeId="0">
      <text>
        <r>
          <rPr>
            <b/>
            <sz val="20"/>
            <color indexed="81"/>
            <rFont val="TH SarabunPSK"/>
            <family val="2"/>
          </rPr>
          <t>จำนวนนักศึกษาเต็มเวลา
ต่ออาจารย์ประจำ 1 คน
ตามเกณฑ์มาตรฐาน</t>
        </r>
      </text>
    </comment>
    <comment ref="P19" authorId="0" shapeId="0">
      <text>
        <r>
          <rPr>
            <b/>
            <sz val="20"/>
            <color indexed="81"/>
            <rFont val="TH SarabunPSK"/>
            <family val="2"/>
          </rPr>
          <t>FTES ระดับปริญญาตรี
สาขาวิชามนุษยศาสตร์
และสังคมศาสตร์</t>
        </r>
      </text>
    </comment>
    <comment ref="Q19" authorId="0" shapeId="0">
      <text>
        <r>
          <rPr>
            <b/>
            <sz val="20"/>
            <color indexed="81"/>
            <rFont val="TH SarabunPSK"/>
            <family val="2"/>
          </rPr>
          <t>FTES ระดับบัณฑิตศึกษา
สาขาวิชามนุษยศาสตร์
และสังคมศาสตร์</t>
        </r>
      </text>
    </comment>
    <comment ref="CA19" authorId="2" shapeId="0">
      <text>
        <r>
          <rPr>
            <b/>
            <sz val="20"/>
            <color indexed="81"/>
            <rFont val="TH SarabunPSK"/>
            <family val="2"/>
          </rPr>
          <t>ค่าร้อยละความแตกต่าง
จากเกณฑ์มาตรฐาน</t>
        </r>
      </text>
    </comment>
    <comment ref="CB19" authorId="2" shapeId="0">
      <text>
        <r>
          <rPr>
            <b/>
            <sz val="20"/>
            <color indexed="81"/>
            <rFont val="TH SarabunPSK"/>
            <family val="2"/>
          </rPr>
          <t>คะแนนที่ได้</t>
        </r>
      </text>
    </comment>
    <comment ref="B20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C20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D20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E20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F20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G20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B21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C21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D21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E21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F21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G21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B22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C22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D22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E22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F22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G22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F23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จำนวนอาจารย์ประจำคณะและ
นักวิจัยทั้งหมด (ไม่นับลาศึกษา)</t>
        </r>
      </text>
    </comment>
    <comment ref="H23" authorId="0" shapeId="0">
      <text>
        <r>
          <rPr>
            <b/>
            <sz val="20"/>
            <color indexed="81"/>
            <rFont val="TH SarabunPSK"/>
            <family val="2"/>
          </rPr>
          <t>จำนวนเงินสนับสนุนงานวิจัย
หรืองานสร้างสรรค์จาก
ภายในและภายนอกสถาบัน</t>
        </r>
      </text>
    </comment>
    <comment ref="F24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จำนวนอาจารย์ประจำคณะและ
นักวิจัยทั้งหมด (ไม่นับลาศึกษา)</t>
        </r>
      </text>
    </comment>
    <comment ref="H24" authorId="0" shapeId="0">
      <text>
        <r>
          <rPr>
            <b/>
            <sz val="20"/>
            <color indexed="81"/>
            <rFont val="TH SarabunPSK"/>
            <family val="2"/>
          </rPr>
          <t>จำนวนเงินสนับสนุนงานวิจัย
หรืองานสร้างสรรค์จาก
ภายในและภายนอกสถาบัน</t>
        </r>
      </text>
    </comment>
    <comment ref="F25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จำนวนอาจารย์ประจำคณะและ
นักวิจัยทั้งหมด (ไม่นับลาศึกษา)</t>
        </r>
      </text>
    </comment>
    <comment ref="H25" authorId="0" shapeId="0">
      <text>
        <r>
          <rPr>
            <b/>
            <sz val="20"/>
            <color indexed="81"/>
            <rFont val="TH SarabunPSK"/>
            <family val="2"/>
          </rPr>
          <t>จำนวนเงินสนับสนุนงานวิจัย
หรืองานสร้างสรรค์จาก
ภายในและภายนอกสถาบัน</t>
        </r>
      </text>
    </comment>
    <comment ref="F26" authorId="0" shapeId="0">
      <text>
        <r>
          <rPr>
            <b/>
            <sz val="20"/>
            <color indexed="81"/>
            <rFont val="TH SarabunPSK"/>
            <family val="2"/>
          </rPr>
          <t>ผลรวมถ่วงน้ำหนักของ
ผลงานทางวิชาการของ
อาจารย์ประจำและนักวิจัย</t>
        </r>
      </text>
    </comment>
    <comment ref="H26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จำนวนอาจารย์ประจำคณะ
และนักวิจัยทั้งหมด</t>
        </r>
      </text>
    </comment>
    <comment ref="F27" authorId="0" shapeId="0">
      <text>
        <r>
          <rPr>
            <b/>
            <sz val="20"/>
            <color indexed="81"/>
            <rFont val="TH SarabunPSK"/>
            <family val="2"/>
          </rPr>
          <t>ผลรวมถ่วงน้ำหนักของ
ผลงานทางวิชาการของ
อาจารย์ประจำและนักวิจัย</t>
        </r>
      </text>
    </comment>
    <comment ref="H27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จำนวนอาจารย์ประจำคณะ
และนักวิจัยทั้งหมด</t>
        </r>
      </text>
    </comment>
    <comment ref="F28" authorId="0" shapeId="0">
      <text>
        <r>
          <rPr>
            <b/>
            <sz val="20"/>
            <color indexed="81"/>
            <rFont val="TH SarabunPSK"/>
            <family val="2"/>
          </rPr>
          <t>ผลรวมถ่วงน้ำหนักของ
ผลงานทางวิชาการของ
อาจารย์ประจำและนักวิจัย</t>
        </r>
      </text>
    </comment>
    <comment ref="H28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จำนวนอาจารย์ประจำคณะ
และนักวิจัยทั้งหมด</t>
        </r>
      </text>
    </comment>
    <comment ref="B29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C29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D29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E29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F29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G29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B30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C30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D30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E30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F30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G30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H30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B31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C31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D31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E31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F31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G31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H31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B32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C32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D32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E32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F32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G32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</commentList>
</comments>
</file>

<file path=xl/sharedStrings.xml><?xml version="1.0" encoding="utf-8"?>
<sst xmlns="http://schemas.openxmlformats.org/spreadsheetml/2006/main" count="64" uniqueCount="53">
  <si>
    <t>จำนวนหลักสูตรที่คณะรับผิดชอบรวมทุกระดับ</t>
  </si>
  <si>
    <t>กลุ่มสถาบัน</t>
  </si>
  <si>
    <r>
      <rPr>
        <b/>
        <sz val="14"/>
        <color rgb="FF0000CC"/>
        <rFont val="TH SarabunPSK"/>
        <family val="2"/>
      </rPr>
      <t xml:space="preserve">เลข 1 แทนสถาบันกลุ่ม ข และ ค2
</t>
    </r>
    <r>
      <rPr>
        <b/>
        <sz val="14"/>
        <color rgb="FFFF0000"/>
        <rFont val="TH SarabunPSK"/>
        <family val="2"/>
      </rPr>
      <t>เลข 2 แทนสถาบันกลุ่ม ค1 และ ง</t>
    </r>
  </si>
  <si>
    <t>ตัวบ่งชี้คุณภาพ</t>
  </si>
  <si>
    <t xml:space="preserve"> ผลการดำเนินงาน</t>
  </si>
  <si>
    <t>คะแนนการประเมิน
(ตามเกณฑ์ สกอ.)</t>
  </si>
  <si>
    <t>ตัวตั้ง</t>
  </si>
  <si>
    <t>ผลลัพธ์
(% หรือสัดส่วน)</t>
  </si>
  <si>
    <t>ตัวหาร</t>
  </si>
  <si>
    <t>1.1 ผลการบริหารจัดการหลักสูตรโดยรวม</t>
  </si>
  <si>
    <t>1.2 อาจารย์ประจำคณะที่มีคุณวุฒิปริญญาเอก</t>
  </si>
  <si>
    <t>1.3 อาจารย์ประจำคณะที่ดำรงตำแหน่งทางวิชาการ</t>
  </si>
  <si>
    <t>วิทย์และเทคโนโลยี1</t>
  </si>
  <si>
    <t>วิทย์และเทคโนโลยี2</t>
  </si>
  <si>
    <t>วิทย์และเทคโนโลยี3</t>
  </si>
  <si>
    <t>วิทย์สุขภาพ1</t>
  </si>
  <si>
    <t>วิทย์สุขภาพ2</t>
  </si>
  <si>
    <t>วิทย์สุขภาพ3</t>
  </si>
  <si>
    <t>มนุษย์สังคม1</t>
  </si>
  <si>
    <t>มนุษย์สังคม2</t>
  </si>
  <si>
    <t>มนุษย์สังคม3</t>
  </si>
  <si>
    <t>1.5 การบริการนักศึกษาระดับปริญญาตรี</t>
  </si>
  <si>
    <t>1.6 กิจกรรมนักศึกษาระดับปริญญาตรี</t>
  </si>
  <si>
    <t>2.1 ระบบและกลไกการบริหารและพัฒนางานวิจัยหรืองานสร้างสรรค์</t>
  </si>
  <si>
    <t>2.2 เงินสนับสนุนงานวิจัยและงานสร้างสรรค์</t>
  </si>
  <si>
    <t>วิทย์และเทคโนโลยี</t>
  </si>
  <si>
    <t>วิทย์สุขภาพ</t>
  </si>
  <si>
    <t>มนุษย์สังคม</t>
  </si>
  <si>
    <t>2.3  ผลงานทางวิชาการของอาจารย์ประจำและนักวิจัย</t>
  </si>
  <si>
    <t>3.1  การบริการวิชาการแก่สังคม</t>
  </si>
  <si>
    <t>4.1  ระบบและกลไกการทำนุบำรุงศิลปะและวัฒนธรรม</t>
  </si>
  <si>
    <t>5.1 การบริหารของคณะเพื่อการกำกับติดตามผลลัพธ์ตามพันธกิจกลุ่มสถาบัน และเอกลักษณ์ของคณะ</t>
  </si>
  <si>
    <t>5.2 ระบบกำกับการประกันคุณภาพหลักสูตร</t>
  </si>
  <si>
    <t>คะแนนเฉลี่ย</t>
  </si>
  <si>
    <t>ผลการประเมินระดับคณะวิชา</t>
  </si>
  <si>
    <t>คณะ</t>
  </si>
  <si>
    <t>ตารางวิเคราะห์ผลการประเมินระดับคณะ</t>
  </si>
  <si>
    <t>องค์ ประกอบ ที่</t>
  </si>
  <si>
    <t>คะแนนการประเมินเฉลี่ย</t>
  </si>
  <si>
    <t>ผลการประเมิน</t>
  </si>
  <si>
    <t>0.00 – 1.50 การดำเนินงานต้องปรับปรุงเร่งด่วน</t>
  </si>
  <si>
    <t>1.51 – 2.50 การดำเนินงานต้องปรับปรุง</t>
  </si>
  <si>
    <t>จำนวนตัวบ่งชี้</t>
  </si>
  <si>
    <t>I</t>
  </si>
  <si>
    <t>P</t>
  </si>
  <si>
    <t>O</t>
  </si>
  <si>
    <t>2.51 – 3.50 การดำเนินงานระดับพอใช้</t>
  </si>
  <si>
    <t>3.51 – 4.50 การดำเนินงานระดับดี</t>
  </si>
  <si>
    <t>4.51 - 5.00 การดำเนินงานระดับดีมาก</t>
  </si>
  <si>
    <t>-</t>
  </si>
  <si>
    <t>รวม</t>
  </si>
  <si>
    <t>ชื่อคณะที่ทำการประเมิน</t>
  </si>
  <si>
    <r>
      <t>1.4 จำนวนนักศึกษาเต็มเวลาเทียบเท่าต่อจำนวนอาจารย์ประจำ</t>
    </r>
    <r>
      <rPr>
        <b/>
        <sz val="16"/>
        <color rgb="FF0070C0"/>
        <rFont val="TH SarabunPSK"/>
        <family val="2"/>
      </rPr>
      <t xml:space="preserve"> </t>
    </r>
    <r>
      <rPr>
        <b/>
        <sz val="16"/>
        <color rgb="FFC00000"/>
        <rFont val="TH SarabunPSK"/>
        <family val="2"/>
      </rPr>
      <t>(</t>
    </r>
    <r>
      <rPr>
        <b/>
        <sz val="16"/>
        <color rgb="FFFF0000"/>
        <rFont val="TH SarabunPSK"/>
        <family val="2"/>
      </rPr>
      <t>ค่า FTES</t>
    </r>
    <r>
      <rPr>
        <b/>
        <sz val="16"/>
        <color rgb="FFC00000"/>
        <rFont val="TH SarabunPSK"/>
        <family val="2"/>
      </rPr>
      <t xml:space="preserve"> </t>
    </r>
    <r>
      <rPr>
        <b/>
        <sz val="16"/>
        <color rgb="FF7030A0"/>
        <rFont val="TH SarabunPSK"/>
        <family val="2"/>
      </rPr>
      <t>ป.ตรี</t>
    </r>
    <r>
      <rPr>
        <b/>
        <sz val="16"/>
        <color rgb="FFC00000"/>
        <rFont val="TH SarabunPSK"/>
        <family val="2"/>
      </rPr>
      <t xml:space="preserve"> </t>
    </r>
    <r>
      <rPr>
        <b/>
        <sz val="16"/>
        <color rgb="FF0000CC"/>
        <rFont val="TH SarabunPSK"/>
        <family val="2"/>
      </rPr>
      <t>ป้อนข้อมูลลงใน P11-P13 หรือ P14-P16  หรือ P17-P19</t>
    </r>
    <r>
      <rPr>
        <b/>
        <sz val="16"/>
        <color rgb="FFC00000"/>
        <rFont val="TH SarabunPSK"/>
        <family val="2"/>
      </rPr>
      <t xml:space="preserve"> ค่า FTES </t>
    </r>
    <r>
      <rPr>
        <b/>
        <sz val="16"/>
        <color rgb="FF7030A0"/>
        <rFont val="TH SarabunPSK"/>
        <family val="2"/>
      </rPr>
      <t>บัณฑิตศึกษา</t>
    </r>
    <r>
      <rPr>
        <b/>
        <sz val="16"/>
        <color rgb="FFC00000"/>
        <rFont val="TH SarabunPSK"/>
        <family val="2"/>
      </rPr>
      <t xml:space="preserve"> ป้อนข้อมูลลงใน Q11-Q13 หรือ Q14-Q16 หรือ Q17-Q19)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</si>
</sst>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_(* #,##0.00_);_(* \(#,##0.00\);_(* &quot;-&quot;??_);_(@_)"/>
    <numFmt numFmtId="188" formatCode="#,##0.0"/>
    <numFmt numFmtId="189" formatCode="0.0"/>
  </numFmts>
  <fonts count="37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20"/>
      <color theme="1"/>
      <name val="TH SarabunPSK"/>
      <family val="2"/>
    </font>
    <font>
      <b/>
      <sz val="20"/>
      <color rgb="FF0000CC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0000CC"/>
      <name val="TH SarabunPSK"/>
      <family val="2"/>
    </font>
    <font>
      <b/>
      <sz val="14"/>
      <color rgb="FFFF0000"/>
      <name val="TH SarabunPSK"/>
      <family val="2"/>
    </font>
    <font>
      <b/>
      <sz val="22"/>
      <color rgb="FFFF0000"/>
      <name val="TH SarabunPSK"/>
      <family val="2"/>
    </font>
    <font>
      <b/>
      <sz val="22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8"/>
      <color rgb="FFFF0000"/>
      <name val="TH SarabunPSK"/>
      <family val="2"/>
    </font>
    <font>
      <b/>
      <sz val="20"/>
      <name val="TH SarabunPSK"/>
      <family val="2"/>
    </font>
    <font>
      <b/>
      <sz val="16"/>
      <color rgb="FF0070C0"/>
      <name val="TH SarabunPSK"/>
      <family val="2"/>
    </font>
    <font>
      <b/>
      <sz val="16"/>
      <color rgb="FFC00000"/>
      <name val="TH SarabunPSK"/>
      <family val="2"/>
    </font>
    <font>
      <b/>
      <sz val="16"/>
      <color rgb="FF7030A0"/>
      <name val="TH SarabunPSK"/>
      <family val="2"/>
    </font>
    <font>
      <b/>
      <sz val="14"/>
      <color rgb="FFC00000"/>
      <name val="TH SarabunPSK"/>
      <family val="2"/>
    </font>
    <font>
      <b/>
      <sz val="12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4"/>
      <name val="TH SarabunPSK"/>
      <family val="2"/>
    </font>
    <font>
      <b/>
      <sz val="11"/>
      <color rgb="FFC00000"/>
      <name val="TH SarabunPSK"/>
      <family val="2"/>
    </font>
    <font>
      <b/>
      <sz val="11"/>
      <color theme="1"/>
      <name val="TH SarabunPSK"/>
      <family val="2"/>
    </font>
    <font>
      <b/>
      <sz val="20"/>
      <color indexed="81"/>
      <name val="TH SarabunPSK"/>
      <family val="2"/>
    </font>
    <font>
      <b/>
      <sz val="20"/>
      <color indexed="12"/>
      <name val="TH SarabunPSK"/>
      <family val="2"/>
    </font>
    <font>
      <b/>
      <sz val="20"/>
      <color indexed="10"/>
      <name val="TH SarabunPSK"/>
      <family val="2"/>
    </font>
    <font>
      <b/>
      <sz val="20"/>
      <color rgb="FF000000"/>
      <name val="TH SarabunPSK"/>
      <family val="2"/>
    </font>
    <font>
      <b/>
      <sz val="18"/>
      <color rgb="FF000000"/>
      <name val="TH SarabunPSK"/>
      <family val="2"/>
    </font>
    <font>
      <sz val="20"/>
      <name val="TH SarabunPSK"/>
      <family val="2"/>
    </font>
    <font>
      <b/>
      <sz val="24"/>
      <color rgb="FF000000"/>
      <name val="TH SarabunPSK"/>
      <family val="2"/>
    </font>
    <font>
      <sz val="18"/>
      <name val="TH SarabunPSK"/>
      <family val="2"/>
    </font>
    <font>
      <b/>
      <sz val="9"/>
      <color theme="1"/>
      <name val="TH SarabunPSK"/>
      <family val="2"/>
    </font>
    <font>
      <b/>
      <sz val="16"/>
      <color rgb="FF0000CC"/>
      <name val="TH SarabunPSK"/>
      <family val="2"/>
    </font>
    <font>
      <b/>
      <sz val="24"/>
      <name val="TH SarabunPSK"/>
      <family val="2"/>
    </font>
    <font>
      <b/>
      <sz val="12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AE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B7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5FFC5"/>
        <bgColor indexed="64"/>
      </patternFill>
    </fill>
    <fill>
      <patternFill patternType="solid">
        <fgColor rgb="FFC7FEB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2F0D9"/>
        <bgColor indexed="64"/>
      </patternFill>
    </fill>
    <fill>
      <patternFill patternType="solid">
        <fgColor rgb="FFFCECE8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rgb="FFEFE5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EFEE8"/>
        <bgColor indexed="64"/>
      </patternFill>
    </fill>
    <fill>
      <patternFill patternType="solid">
        <fgColor rgb="FF1BAD03"/>
        <bgColor indexed="64"/>
      </patternFill>
    </fill>
    <fill>
      <patternFill patternType="solid">
        <fgColor rgb="FFD5E3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195">
    <xf numFmtId="0" fontId="0" fillId="0" borderId="0" xfId="0"/>
    <xf numFmtId="0" fontId="3" fillId="0" borderId="1" xfId="0" applyFont="1" applyFill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4" fillId="0" borderId="0" xfId="0" applyFont="1" applyProtection="1">
      <protection hidden="1"/>
    </xf>
    <xf numFmtId="2" fontId="9" fillId="5" borderId="3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22" fillId="8" borderId="2" xfId="0" applyFont="1" applyFill="1" applyBorder="1" applyAlignment="1" applyProtection="1">
      <alignment horizontal="center" vertical="center"/>
      <protection locked="0"/>
    </xf>
    <xf numFmtId="2" fontId="22" fillId="2" borderId="2" xfId="0" applyNumberFormat="1" applyFont="1" applyFill="1" applyBorder="1" applyAlignment="1" applyProtection="1">
      <alignment horizontal="center" vertical="center"/>
      <protection locked="0"/>
    </xf>
    <xf numFmtId="4" fontId="11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8" borderId="2" xfId="0" applyFont="1" applyFill="1" applyBorder="1" applyAlignment="1" applyProtection="1">
      <alignment horizontal="center" vertical="center" wrapText="1"/>
      <protection locked="0"/>
    </xf>
    <xf numFmtId="0" fontId="21" fillId="5" borderId="5" xfId="0" applyFont="1" applyFill="1" applyBorder="1" applyAlignment="1" applyProtection="1">
      <alignment vertical="center" wrapText="1"/>
      <protection hidden="1"/>
    </xf>
    <xf numFmtId="0" fontId="21" fillId="5" borderId="6" xfId="0" applyFont="1" applyFill="1" applyBorder="1" applyAlignment="1" applyProtection="1">
      <alignment vertical="center" wrapText="1"/>
      <protection hidden="1"/>
    </xf>
    <xf numFmtId="0" fontId="21" fillId="5" borderId="7" xfId="0" applyFont="1" applyFill="1" applyBorder="1" applyAlignment="1" applyProtection="1">
      <alignment vertical="center" wrapText="1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 vertical="center"/>
      <protection hidden="1"/>
    </xf>
    <xf numFmtId="0" fontId="4" fillId="7" borderId="2" xfId="0" applyFont="1" applyFill="1" applyBorder="1" applyAlignment="1" applyProtection="1">
      <alignment horizontal="center" vertical="center" wrapText="1"/>
      <protection locked="0"/>
    </xf>
    <xf numFmtId="0" fontId="4" fillId="13" borderId="2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 vertical="top"/>
      <protection hidden="1"/>
    </xf>
    <xf numFmtId="0" fontId="12" fillId="14" borderId="2" xfId="0" applyFont="1" applyFill="1" applyBorder="1" applyAlignment="1" applyProtection="1">
      <alignment horizontal="center" vertical="center"/>
      <protection hidden="1"/>
    </xf>
    <xf numFmtId="0" fontId="12" fillId="15" borderId="2" xfId="0" applyFont="1" applyFill="1" applyBorder="1" applyAlignment="1" applyProtection="1">
      <alignment horizontal="center" vertical="center"/>
      <protection hidden="1"/>
    </xf>
    <xf numFmtId="2" fontId="24" fillId="0" borderId="5" xfId="0" applyNumberFormat="1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4" fillId="11" borderId="2" xfId="0" applyFont="1" applyFill="1" applyBorder="1" applyAlignment="1" applyProtection="1">
      <alignment horizontal="center" vertical="center" wrapText="1"/>
      <protection locked="0"/>
    </xf>
    <xf numFmtId="0" fontId="4" fillId="16" borderId="2" xfId="0" applyFont="1" applyFill="1" applyBorder="1" applyAlignment="1" applyProtection="1">
      <alignment horizontal="center" vertical="center" wrapText="1"/>
      <protection locked="0"/>
    </xf>
    <xf numFmtId="2" fontId="13" fillId="13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0" fontId="28" fillId="18" borderId="26" xfId="0" applyFont="1" applyFill="1" applyBorder="1" applyAlignment="1" applyProtection="1">
      <alignment horizontal="center" vertical="center" wrapText="1" readingOrder="1"/>
      <protection hidden="1"/>
    </xf>
    <xf numFmtId="0" fontId="29" fillId="18" borderId="26" xfId="0" applyFont="1" applyFill="1" applyBorder="1" applyAlignment="1" applyProtection="1">
      <alignment horizontal="center" vertical="center" readingOrder="1"/>
      <protection hidden="1"/>
    </xf>
    <xf numFmtId="2" fontId="15" fillId="18" borderId="26" xfId="0" applyNumberFormat="1" applyFont="1" applyFill="1" applyBorder="1" applyAlignment="1" applyProtection="1">
      <alignment horizontal="center" vertical="center" wrapText="1"/>
      <protection hidden="1"/>
    </xf>
    <xf numFmtId="2" fontId="28" fillId="18" borderId="26" xfId="0" applyNumberFormat="1" applyFont="1" applyFill="1" applyBorder="1" applyAlignment="1" applyProtection="1">
      <alignment horizontal="center" vertical="center" readingOrder="1"/>
      <protection hidden="1"/>
    </xf>
    <xf numFmtId="0" fontId="28" fillId="19" borderId="27" xfId="0" applyFont="1" applyFill="1" applyBorder="1" applyAlignment="1" applyProtection="1">
      <alignment horizontal="center" vertical="center" wrapText="1" readingOrder="1"/>
      <protection hidden="1"/>
    </xf>
    <xf numFmtId="2" fontId="28" fillId="19" borderId="27" xfId="0" applyNumberFormat="1" applyFont="1" applyFill="1" applyBorder="1" applyAlignment="1" applyProtection="1">
      <alignment horizontal="center" vertical="center" wrapText="1" readingOrder="1"/>
      <protection hidden="1"/>
    </xf>
    <xf numFmtId="2" fontId="28" fillId="19" borderId="27" xfId="0" applyNumberFormat="1" applyFont="1" applyFill="1" applyBorder="1" applyAlignment="1" applyProtection="1">
      <alignment horizontal="center" vertical="center" readingOrder="1"/>
      <protection hidden="1"/>
    </xf>
    <xf numFmtId="2" fontId="15" fillId="19" borderId="27" xfId="0" applyNumberFormat="1" applyFont="1" applyFill="1" applyBorder="1" applyAlignment="1" applyProtection="1">
      <alignment horizontal="center" vertical="center" wrapText="1"/>
      <protection hidden="1"/>
    </xf>
    <xf numFmtId="0" fontId="28" fillId="20" borderId="27" xfId="0" applyFont="1" applyFill="1" applyBorder="1" applyAlignment="1" applyProtection="1">
      <alignment horizontal="center" vertical="center" wrapText="1" readingOrder="1"/>
      <protection hidden="1"/>
    </xf>
    <xf numFmtId="2" fontId="28" fillId="20" borderId="27" xfId="0" applyNumberFormat="1" applyFont="1" applyFill="1" applyBorder="1" applyAlignment="1" applyProtection="1">
      <alignment horizontal="center" vertical="center" wrapText="1" readingOrder="1"/>
      <protection hidden="1"/>
    </xf>
    <xf numFmtId="2" fontId="15" fillId="20" borderId="27" xfId="0" applyNumberFormat="1" applyFont="1" applyFill="1" applyBorder="1" applyAlignment="1" applyProtection="1">
      <alignment horizontal="center" vertical="center" wrapText="1"/>
      <protection hidden="1"/>
    </xf>
    <xf numFmtId="0" fontId="28" fillId="21" borderId="27" xfId="0" applyFont="1" applyFill="1" applyBorder="1" applyAlignment="1" applyProtection="1">
      <alignment horizontal="center" vertical="center" wrapText="1" readingOrder="1"/>
      <protection hidden="1"/>
    </xf>
    <xf numFmtId="2" fontId="15" fillId="21" borderId="27" xfId="0" applyNumberFormat="1" applyFont="1" applyFill="1" applyBorder="1" applyAlignment="1" applyProtection="1">
      <alignment horizontal="center" vertical="center" wrapText="1" readingOrder="1"/>
      <protection hidden="1"/>
    </xf>
    <xf numFmtId="2" fontId="15" fillId="21" borderId="27" xfId="0" applyNumberFormat="1" applyFont="1" applyFill="1" applyBorder="1" applyAlignment="1" applyProtection="1">
      <alignment horizontal="center" vertical="center" wrapText="1"/>
      <protection hidden="1"/>
    </xf>
    <xf numFmtId="0" fontId="28" fillId="6" borderId="27" xfId="0" applyFont="1" applyFill="1" applyBorder="1" applyAlignment="1" applyProtection="1">
      <alignment horizontal="center" vertical="center" wrapText="1" readingOrder="1"/>
      <protection hidden="1"/>
    </xf>
    <xf numFmtId="2" fontId="28" fillId="6" borderId="27" xfId="0" applyNumberFormat="1" applyFont="1" applyFill="1" applyBorder="1" applyAlignment="1" applyProtection="1">
      <alignment horizontal="center" vertical="center" wrapText="1" readingOrder="1"/>
      <protection hidden="1"/>
    </xf>
    <xf numFmtId="2" fontId="15" fillId="6" borderId="27" xfId="0" applyNumberFormat="1" applyFont="1" applyFill="1" applyBorder="1" applyAlignment="1" applyProtection="1">
      <alignment horizontal="center" vertical="center" readingOrder="1"/>
      <protection hidden="1"/>
    </xf>
    <xf numFmtId="2" fontId="15" fillId="6" borderId="27" xfId="0" applyNumberFormat="1" applyFont="1" applyFill="1" applyBorder="1" applyAlignment="1" applyProtection="1">
      <alignment horizontal="center" vertical="center" wrapText="1" readingOrder="1"/>
      <protection hidden="1"/>
    </xf>
    <xf numFmtId="2" fontId="15" fillId="6" borderId="27" xfId="0" applyNumberFormat="1" applyFont="1" applyFill="1" applyBorder="1" applyAlignment="1" applyProtection="1">
      <alignment horizontal="center" vertical="center" wrapText="1"/>
      <protection hidden="1"/>
    </xf>
    <xf numFmtId="0" fontId="28" fillId="22" borderId="27" xfId="0" applyFont="1" applyFill="1" applyBorder="1" applyAlignment="1" applyProtection="1">
      <alignment horizontal="center" vertical="center" wrapText="1" readingOrder="1"/>
      <protection hidden="1"/>
    </xf>
    <xf numFmtId="0" fontId="30" fillId="22" borderId="27" xfId="0" applyFont="1" applyFill="1" applyBorder="1" applyAlignment="1" applyProtection="1">
      <alignment horizontal="center" vertical="top" wrapText="1"/>
      <protection hidden="1"/>
    </xf>
    <xf numFmtId="2" fontId="28" fillId="23" borderId="27" xfId="0" applyNumberFormat="1" applyFont="1" applyFill="1" applyBorder="1" applyAlignment="1" applyProtection="1">
      <alignment horizontal="center" vertical="center" wrapText="1" readingOrder="1"/>
      <protection hidden="1"/>
    </xf>
    <xf numFmtId="2" fontId="15" fillId="23" borderId="27" xfId="0" applyNumberFormat="1" applyFont="1" applyFill="1" applyBorder="1" applyAlignment="1" applyProtection="1">
      <alignment horizontal="center" vertical="top" wrapText="1"/>
      <protection hidden="1"/>
    </xf>
    <xf numFmtId="2" fontId="0" fillId="0" borderId="0" xfId="0" applyNumberFormat="1" applyProtection="1">
      <protection hidden="1"/>
    </xf>
    <xf numFmtId="0" fontId="32" fillId="24" borderId="27" xfId="0" applyFont="1" applyFill="1" applyBorder="1" applyAlignment="1" applyProtection="1">
      <alignment horizontal="center" vertical="top" wrapText="1"/>
      <protection hidden="1"/>
    </xf>
    <xf numFmtId="0" fontId="32" fillId="14" borderId="27" xfId="0" applyFont="1" applyFill="1" applyBorder="1" applyAlignment="1" applyProtection="1">
      <alignment horizontal="center" vertical="top" wrapText="1"/>
      <protection hidden="1"/>
    </xf>
    <xf numFmtId="0" fontId="11" fillId="14" borderId="27" xfId="0" applyFont="1" applyFill="1" applyBorder="1" applyAlignment="1" applyProtection="1">
      <alignment horizontal="center" vertical="top" wrapText="1"/>
      <protection hidden="1"/>
    </xf>
    <xf numFmtId="0" fontId="10" fillId="18" borderId="27" xfId="0" applyFont="1" applyFill="1" applyBorder="1" applyAlignment="1" applyProtection="1">
      <alignment vertical="center" wrapText="1"/>
      <protection hidden="1"/>
    </xf>
    <xf numFmtId="0" fontId="10" fillId="19" borderId="27" xfId="0" applyFont="1" applyFill="1" applyBorder="1" applyAlignment="1" applyProtection="1">
      <alignment vertical="center"/>
      <protection hidden="1"/>
    </xf>
    <xf numFmtId="0" fontId="10" fillId="20" borderId="27" xfId="0" applyFont="1" applyFill="1" applyBorder="1" applyAlignment="1" applyProtection="1">
      <alignment vertical="center" wrapText="1"/>
      <protection hidden="1"/>
    </xf>
    <xf numFmtId="0" fontId="10" fillId="21" borderId="27" xfId="0" applyFont="1" applyFill="1" applyBorder="1" applyAlignment="1" applyProtection="1">
      <alignment vertical="center" wrapText="1"/>
      <protection hidden="1"/>
    </xf>
    <xf numFmtId="0" fontId="10" fillId="6" borderId="27" xfId="0" applyFont="1" applyFill="1" applyBorder="1" applyAlignment="1" applyProtection="1">
      <alignment vertical="center" wrapText="1"/>
      <protection hidden="1"/>
    </xf>
    <xf numFmtId="0" fontId="10" fillId="23" borderId="27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33" fillId="0" borderId="2" xfId="0" applyFont="1" applyBorder="1" applyAlignment="1" applyProtection="1">
      <alignment vertical="center"/>
      <protection hidden="1"/>
    </xf>
    <xf numFmtId="4" fontId="11" fillId="8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Protection="1">
      <protection hidden="1"/>
    </xf>
    <xf numFmtId="0" fontId="11" fillId="0" borderId="8" xfId="0" applyFont="1" applyBorder="1" applyAlignment="1" applyProtection="1">
      <alignment vertical="top" wrapText="1"/>
      <protection hidden="1"/>
    </xf>
    <xf numFmtId="188" fontId="11" fillId="0" borderId="0" xfId="1" applyNumberFormat="1" applyFont="1" applyFill="1" applyBorder="1" applyAlignment="1" applyProtection="1">
      <alignment vertical="center" wrapText="1"/>
      <protection hidden="1"/>
    </xf>
    <xf numFmtId="2" fontId="12" fillId="0" borderId="0" xfId="0" applyNumberFormat="1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188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8" xfId="0" applyFont="1" applyBorder="1" applyAlignment="1" applyProtection="1">
      <alignment vertical="top" wrapText="1"/>
      <protection hidden="1"/>
    </xf>
    <xf numFmtId="0" fontId="12" fillId="0" borderId="3" xfId="0" applyFont="1" applyFill="1" applyBorder="1" applyAlignment="1" applyProtection="1">
      <alignment vertical="top" wrapText="1"/>
      <protection hidden="1"/>
    </xf>
    <xf numFmtId="4" fontId="11" fillId="0" borderId="0" xfId="1" applyNumberFormat="1" applyFont="1" applyFill="1" applyBorder="1" applyAlignment="1" applyProtection="1">
      <alignment vertical="center" wrapText="1"/>
      <protection hidden="1"/>
    </xf>
    <xf numFmtId="0" fontId="12" fillId="0" borderId="2" xfId="0" applyFont="1" applyBorder="1" applyAlignment="1" applyProtection="1">
      <alignment horizontal="center" vertical="center"/>
      <protection hidden="1"/>
    </xf>
    <xf numFmtId="0" fontId="12" fillId="0" borderId="2" xfId="0" applyFont="1" applyBorder="1" applyProtection="1">
      <protection hidden="1"/>
    </xf>
    <xf numFmtId="0" fontId="12" fillId="9" borderId="2" xfId="0" applyFont="1" applyFill="1" applyBorder="1" applyAlignment="1" applyProtection="1">
      <alignment horizontal="center" vertical="center"/>
      <protection hidden="1"/>
    </xf>
    <xf numFmtId="0" fontId="12" fillId="11" borderId="2" xfId="0" applyFont="1" applyFill="1" applyBorder="1" applyAlignment="1" applyProtection="1">
      <alignment horizontal="center" vertical="center"/>
      <protection hidden="1"/>
    </xf>
    <xf numFmtId="0" fontId="21" fillId="12" borderId="2" xfId="0" applyFont="1" applyFill="1" applyBorder="1" applyAlignment="1" applyProtection="1">
      <alignment vertical="center"/>
      <protection hidden="1"/>
    </xf>
    <xf numFmtId="0" fontId="12" fillId="0" borderId="2" xfId="0" applyFont="1" applyBorder="1" applyAlignment="1" applyProtection="1">
      <alignment vertical="top"/>
      <protection hidden="1"/>
    </xf>
    <xf numFmtId="0" fontId="12" fillId="0" borderId="2" xfId="0" applyFont="1" applyBorder="1" applyAlignment="1" applyProtection="1">
      <alignment vertical="top" wrapText="1"/>
      <protection hidden="1"/>
    </xf>
    <xf numFmtId="0" fontId="12" fillId="0" borderId="0" xfId="0" applyFont="1" applyBorder="1" applyProtection="1">
      <protection hidden="1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1" fontId="4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25" borderId="16" xfId="0" applyFont="1" applyFill="1" applyBorder="1" applyAlignment="1" applyProtection="1">
      <alignment horizontal="center" vertical="center" wrapText="1" readingOrder="1"/>
      <protection hidden="1"/>
    </xf>
    <xf numFmtId="0" fontId="36" fillId="25" borderId="20" xfId="0" applyFont="1" applyFill="1" applyBorder="1" applyAlignment="1" applyProtection="1">
      <alignment horizontal="left" vertical="center" readingOrder="1"/>
      <protection hidden="1"/>
    </xf>
    <xf numFmtId="0" fontId="36" fillId="25" borderId="25" xfId="0" applyFont="1" applyFill="1" applyBorder="1" applyAlignment="1" applyProtection="1">
      <alignment horizontal="left" vertical="center" readingOrder="1"/>
      <protection hidden="1"/>
    </xf>
    <xf numFmtId="2" fontId="13" fillId="0" borderId="10" xfId="0" applyNumberFormat="1" applyFont="1" applyBorder="1" applyAlignment="1" applyProtection="1">
      <alignment horizontal="center" vertical="center" wrapText="1"/>
      <protection hidden="1"/>
    </xf>
    <xf numFmtId="2" fontId="13" fillId="0" borderId="14" xfId="0" applyNumberFormat="1" applyFont="1" applyBorder="1" applyAlignment="1" applyProtection="1">
      <alignment horizontal="center" vertical="center" wrapText="1"/>
      <protection hidden="1"/>
    </xf>
    <xf numFmtId="0" fontId="10" fillId="5" borderId="2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/>
      <protection hidden="1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1" fontId="4" fillId="3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top" wrapText="1"/>
      <protection hidden="1"/>
    </xf>
    <xf numFmtId="0" fontId="5" fillId="0" borderId="13" xfId="0" applyFont="1" applyBorder="1" applyAlignment="1" applyProtection="1">
      <alignment horizontal="center" vertical="top" wrapText="1"/>
      <protection hidden="1"/>
    </xf>
    <xf numFmtId="0" fontId="5" fillId="0" borderId="14" xfId="0" applyFont="1" applyBorder="1" applyAlignment="1" applyProtection="1">
      <alignment horizontal="center" vertical="top" wrapText="1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 wrapText="1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5" xfId="0" applyFont="1" applyBorder="1" applyAlignment="1" applyProtection="1">
      <alignment horizontal="center" vertical="center" wrapText="1"/>
      <protection hidden="1"/>
    </xf>
    <xf numFmtId="0" fontId="11" fillId="0" borderId="6" xfId="0" applyFont="1" applyBorder="1" applyAlignment="1" applyProtection="1">
      <alignment horizontal="center" vertical="center" wrapText="1"/>
      <protection hidden="1"/>
    </xf>
    <xf numFmtId="0" fontId="11" fillId="0" borderId="7" xfId="0" applyFont="1" applyBorder="1" applyAlignment="1" applyProtection="1">
      <alignment horizontal="center" vertical="center" wrapText="1"/>
      <protection hidden="1"/>
    </xf>
    <xf numFmtId="0" fontId="11" fillId="0" borderId="8" xfId="0" applyFont="1" applyBorder="1" applyAlignment="1" applyProtection="1">
      <alignment horizontal="center" vertical="center" wrapText="1"/>
      <protection hidden="1"/>
    </xf>
    <xf numFmtId="0" fontId="11" fillId="0" borderId="9" xfId="0" applyFont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11" fillId="0" borderId="12" xfId="0" applyFont="1" applyBorder="1" applyAlignment="1" applyProtection="1">
      <alignment horizontal="center" vertical="center" wrapText="1"/>
      <protection hidden="1"/>
    </xf>
    <xf numFmtId="0" fontId="11" fillId="0" borderId="13" xfId="0" applyFont="1" applyBorder="1" applyAlignment="1" applyProtection="1">
      <alignment horizontal="center" vertical="center" wrapText="1"/>
      <protection hidden="1"/>
    </xf>
    <xf numFmtId="0" fontId="11" fillId="0" borderId="14" xfId="0" applyFont="1" applyBorder="1" applyAlignment="1" applyProtection="1">
      <alignment horizontal="center" vertical="center" wrapText="1"/>
      <protection hidden="1"/>
    </xf>
    <xf numFmtId="0" fontId="12" fillId="0" borderId="2" xfId="0" applyFont="1" applyBorder="1" applyAlignment="1" applyProtection="1">
      <alignment vertical="top" wrapText="1"/>
      <protection hidden="1"/>
    </xf>
    <xf numFmtId="0" fontId="24" fillId="0" borderId="2" xfId="0" applyFont="1" applyBorder="1" applyAlignment="1" applyProtection="1">
      <protection hidden="1"/>
    </xf>
    <xf numFmtId="4" fontId="10" fillId="5" borderId="2" xfId="0" applyNumberFormat="1" applyFont="1" applyFill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right" vertical="center" wrapText="1"/>
      <protection hidden="1"/>
    </xf>
    <xf numFmtId="0" fontId="12" fillId="0" borderId="9" xfId="0" applyFont="1" applyBorder="1" applyAlignment="1" applyProtection="1">
      <alignment horizontal="right" vertical="center" wrapText="1"/>
      <protection hidden="1"/>
    </xf>
    <xf numFmtId="0" fontId="12" fillId="0" borderId="12" xfId="0" applyFont="1" applyBorder="1" applyAlignment="1" applyProtection="1">
      <alignment horizontal="right" vertical="center" wrapText="1"/>
      <protection hidden="1"/>
    </xf>
    <xf numFmtId="0" fontId="12" fillId="0" borderId="13" xfId="0" applyFont="1" applyBorder="1" applyAlignment="1" applyProtection="1">
      <alignment horizontal="right" vertical="center" wrapText="1"/>
      <protection hidden="1"/>
    </xf>
    <xf numFmtId="189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189" fontId="1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9" fillId="9" borderId="2" xfId="0" applyFont="1" applyFill="1" applyBorder="1" applyAlignment="1" applyProtection="1">
      <alignment vertical="center"/>
      <protection hidden="1"/>
    </xf>
    <xf numFmtId="4" fontId="20" fillId="0" borderId="2" xfId="1" applyNumberFormat="1" applyFont="1" applyFill="1" applyBorder="1" applyAlignment="1" applyProtection="1">
      <alignment horizontal="center" vertical="center" wrapText="1"/>
      <protection hidden="1"/>
    </xf>
    <xf numFmtId="4" fontId="20" fillId="0" borderId="2" xfId="1" applyNumberFormat="1" applyFont="1" applyBorder="1" applyAlignment="1" applyProtection="1">
      <protection hidden="1"/>
    </xf>
    <xf numFmtId="2" fontId="2" fillId="0" borderId="9" xfId="0" applyNumberFormat="1" applyFont="1" applyBorder="1" applyAlignment="1" applyProtection="1">
      <alignment horizontal="center" vertical="center"/>
      <protection hidden="1"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2" fontId="2" fillId="0" borderId="13" xfId="0" applyNumberFormat="1" applyFont="1" applyBorder="1" applyAlignment="1" applyProtection="1">
      <alignment horizontal="center" vertical="center"/>
      <protection hidden="1"/>
    </xf>
    <xf numFmtId="2" fontId="2" fillId="0" borderId="14" xfId="0" applyNumberFormat="1" applyFont="1" applyBorder="1" applyAlignment="1" applyProtection="1">
      <alignment horizontal="center" vertical="center"/>
      <protection hidden="1"/>
    </xf>
    <xf numFmtId="188" fontId="11" fillId="5" borderId="2" xfId="1" applyNumberFormat="1" applyFont="1" applyFill="1" applyBorder="1" applyAlignment="1" applyProtection="1">
      <alignment horizontal="center" vertical="center"/>
      <protection locked="0"/>
    </xf>
    <xf numFmtId="2" fontId="12" fillId="0" borderId="2" xfId="0" applyNumberFormat="1" applyFont="1" applyBorder="1" applyAlignment="1" applyProtection="1">
      <alignment horizontal="center" vertical="center"/>
      <protection hidden="1"/>
    </xf>
    <xf numFmtId="2" fontId="15" fillId="5" borderId="5" xfId="1" applyNumberFormat="1" applyFont="1" applyFill="1" applyBorder="1" applyAlignment="1" applyProtection="1">
      <alignment horizontal="center" vertical="center"/>
      <protection hidden="1"/>
    </xf>
    <xf numFmtId="2" fontId="15" fillId="5" borderId="7" xfId="1" applyNumberFormat="1" applyFont="1" applyFill="1" applyBorder="1" applyAlignment="1" applyProtection="1">
      <alignment horizontal="center" vertical="center"/>
      <protection hidden="1"/>
    </xf>
    <xf numFmtId="0" fontId="12" fillId="2" borderId="3" xfId="0" applyFont="1" applyFill="1" applyBorder="1" applyAlignment="1" applyProtection="1">
      <alignment vertical="top" wrapText="1"/>
      <protection hidden="1"/>
    </xf>
    <xf numFmtId="0" fontId="12" fillId="2" borderId="4" xfId="0" applyFont="1" applyFill="1" applyBorder="1" applyAlignment="1" applyProtection="1">
      <alignment vertical="top" wrapText="1"/>
      <protection hidden="1"/>
    </xf>
    <xf numFmtId="0" fontId="12" fillId="2" borderId="11" xfId="0" applyFont="1" applyFill="1" applyBorder="1" applyAlignment="1" applyProtection="1">
      <alignment vertical="top" wrapText="1"/>
      <protection hidden="1"/>
    </xf>
    <xf numFmtId="0" fontId="17" fillId="7" borderId="2" xfId="0" applyFont="1" applyFill="1" applyBorder="1" applyAlignment="1" applyProtection="1">
      <alignment vertical="center"/>
      <protection hidden="1"/>
    </xf>
    <xf numFmtId="189" fontId="12" fillId="0" borderId="5" xfId="0" applyNumberFormat="1" applyFont="1" applyFill="1" applyBorder="1" applyAlignment="1" applyProtection="1">
      <alignment horizontal="center" vertical="center"/>
      <protection locked="0"/>
    </xf>
    <xf numFmtId="189" fontId="12" fillId="0" borderId="7" xfId="0" applyNumberFormat="1" applyFont="1" applyFill="1" applyBorder="1" applyAlignment="1" applyProtection="1">
      <alignment horizontal="center" vertical="center"/>
      <protection locked="0"/>
    </xf>
    <xf numFmtId="4" fontId="24" fillId="0" borderId="5" xfId="0" applyNumberFormat="1" applyFont="1" applyFill="1" applyBorder="1" applyAlignment="1" applyProtection="1">
      <alignment horizontal="right" vertical="center"/>
      <protection locked="0"/>
    </xf>
    <xf numFmtId="4" fontId="24" fillId="0" borderId="6" xfId="0" applyNumberFormat="1" applyFont="1" applyFill="1" applyBorder="1" applyAlignment="1" applyProtection="1">
      <alignment horizontal="right" vertical="center"/>
      <protection locked="0"/>
    </xf>
    <xf numFmtId="4" fontId="24" fillId="0" borderId="7" xfId="0" applyNumberFormat="1" applyFont="1" applyFill="1" applyBorder="1" applyAlignment="1" applyProtection="1">
      <alignment horizontal="right" vertical="center"/>
      <protection locked="0"/>
    </xf>
    <xf numFmtId="0" fontId="17" fillId="10" borderId="2" xfId="0" applyFont="1" applyFill="1" applyBorder="1" applyAlignment="1" applyProtection="1">
      <alignment vertical="center"/>
      <protection hidden="1"/>
    </xf>
    <xf numFmtId="0" fontId="23" fillId="10" borderId="2" xfId="0" applyFont="1" applyFill="1" applyBorder="1" applyAlignment="1" applyProtection="1">
      <alignment vertical="center"/>
      <protection hidden="1"/>
    </xf>
    <xf numFmtId="0" fontId="12" fillId="6" borderId="3" xfId="0" applyFont="1" applyFill="1" applyBorder="1" applyAlignment="1" applyProtection="1">
      <alignment vertical="top" wrapText="1"/>
      <protection hidden="1"/>
    </xf>
    <xf numFmtId="0" fontId="12" fillId="6" borderId="4" xfId="0" applyFont="1" applyFill="1" applyBorder="1" applyAlignment="1" applyProtection="1">
      <alignment vertical="top" wrapText="1"/>
      <protection hidden="1"/>
    </xf>
    <xf numFmtId="0" fontId="12" fillId="6" borderId="11" xfId="0" applyFont="1" applyFill="1" applyBorder="1" applyAlignment="1" applyProtection="1">
      <alignment vertical="top" wrapText="1"/>
      <protection hidden="1"/>
    </xf>
    <xf numFmtId="0" fontId="19" fillId="7" borderId="2" xfId="0" applyFont="1" applyFill="1" applyBorder="1" applyAlignment="1" applyProtection="1">
      <alignment vertical="center"/>
      <protection hidden="1"/>
    </xf>
    <xf numFmtId="2" fontId="13" fillId="0" borderId="3" xfId="0" applyNumberFormat="1" applyFont="1" applyBorder="1" applyAlignment="1" applyProtection="1">
      <alignment horizontal="center" vertical="center"/>
      <protection hidden="1"/>
    </xf>
    <xf numFmtId="2" fontId="13" fillId="0" borderId="4" xfId="0" applyNumberFormat="1" applyFont="1" applyBorder="1" applyAlignment="1" applyProtection="1">
      <alignment horizontal="center" vertical="center"/>
      <protection hidden="1"/>
    </xf>
    <xf numFmtId="2" fontId="13" fillId="0" borderId="11" xfId="0" applyNumberFormat="1" applyFont="1" applyBorder="1" applyAlignment="1" applyProtection="1">
      <alignment horizontal="center" vertical="center"/>
      <protection hidden="1"/>
    </xf>
    <xf numFmtId="0" fontId="19" fillId="10" borderId="2" xfId="0" applyFont="1" applyFill="1" applyBorder="1" applyAlignment="1" applyProtection="1">
      <alignment vertical="center"/>
      <protection hidden="1"/>
    </xf>
    <xf numFmtId="0" fontId="2" fillId="4" borderId="2" xfId="0" applyFont="1" applyFill="1" applyBorder="1" applyAlignment="1" applyProtection="1">
      <alignment horizontal="center" vertical="center" wrapText="1"/>
      <protection hidden="1"/>
    </xf>
    <xf numFmtId="0" fontId="2" fillId="4" borderId="2" xfId="0" applyFont="1" applyFill="1" applyBorder="1" applyAlignment="1" applyProtection="1">
      <alignment horizontal="center" vertical="center"/>
      <protection hidden="1"/>
    </xf>
    <xf numFmtId="0" fontId="14" fillId="17" borderId="12" xfId="0" applyFont="1" applyFill="1" applyBorder="1" applyAlignment="1" applyProtection="1">
      <alignment horizontal="center"/>
      <protection hidden="1"/>
    </xf>
    <xf numFmtId="0" fontId="14" fillId="17" borderId="13" xfId="0" applyFont="1" applyFill="1" applyBorder="1" applyAlignment="1" applyProtection="1">
      <alignment horizontal="center"/>
      <protection hidden="1"/>
    </xf>
    <xf numFmtId="0" fontId="14" fillId="17" borderId="14" xfId="0" applyFont="1" applyFill="1" applyBorder="1" applyAlignment="1" applyProtection="1">
      <alignment horizontal="center"/>
      <protection hidden="1"/>
    </xf>
    <xf numFmtId="0" fontId="17" fillId="9" borderId="2" xfId="0" applyFont="1" applyFill="1" applyBorder="1" applyAlignment="1" applyProtection="1">
      <alignment vertical="center"/>
      <protection hidden="1"/>
    </xf>
    <xf numFmtId="0" fontId="23" fillId="9" borderId="2" xfId="0" applyFont="1" applyFill="1" applyBorder="1" applyAlignment="1" applyProtection="1">
      <alignment vertical="center"/>
      <protection hidden="1"/>
    </xf>
    <xf numFmtId="0" fontId="12" fillId="14" borderId="3" xfId="0" applyFont="1" applyFill="1" applyBorder="1" applyAlignment="1" applyProtection="1">
      <alignment vertical="top" wrapText="1"/>
      <protection hidden="1"/>
    </xf>
    <xf numFmtId="0" fontId="12" fillId="14" borderId="4" xfId="0" applyFont="1" applyFill="1" applyBorder="1" applyAlignment="1" applyProtection="1">
      <alignment vertical="top" wrapText="1"/>
      <protection hidden="1"/>
    </xf>
    <xf numFmtId="0" fontId="12" fillId="14" borderId="11" xfId="0" applyFont="1" applyFill="1" applyBorder="1" applyAlignment="1" applyProtection="1">
      <alignment vertical="top" wrapText="1"/>
      <protection hidden="1"/>
    </xf>
    <xf numFmtId="2" fontId="12" fillId="0" borderId="5" xfId="0" applyNumberFormat="1" applyFont="1" applyFill="1" applyBorder="1" applyAlignment="1" applyProtection="1">
      <alignment horizontal="center" vertical="center"/>
      <protection locked="0"/>
    </xf>
    <xf numFmtId="2" fontId="12" fillId="0" borderId="7" xfId="0" applyNumberFormat="1" applyFont="1" applyFill="1" applyBorder="1" applyAlignment="1" applyProtection="1">
      <alignment horizontal="center" vertical="center"/>
      <protection locked="0"/>
    </xf>
    <xf numFmtId="0" fontId="28" fillId="23" borderId="28" xfId="0" applyFont="1" applyFill="1" applyBorder="1" applyAlignment="1" applyProtection="1">
      <alignment horizontal="center" vertical="center" wrapText="1" readingOrder="1"/>
      <protection hidden="1"/>
    </xf>
    <xf numFmtId="0" fontId="28" fillId="23" borderId="29" xfId="0" applyFont="1" applyFill="1" applyBorder="1" applyAlignment="1" applyProtection="1">
      <alignment horizontal="center" vertical="center" wrapText="1" readingOrder="1"/>
      <protection hidden="1"/>
    </xf>
    <xf numFmtId="0" fontId="31" fillId="14" borderId="28" xfId="0" applyFont="1" applyFill="1" applyBorder="1" applyAlignment="1" applyProtection="1">
      <alignment horizontal="center" vertical="center" wrapText="1" readingOrder="1"/>
      <protection hidden="1"/>
    </xf>
    <xf numFmtId="0" fontId="31" fillId="14" borderId="29" xfId="0" applyFont="1" applyFill="1" applyBorder="1" applyAlignment="1" applyProtection="1">
      <alignment horizontal="center" vertical="center" wrapText="1" readingOrder="1"/>
      <protection hidden="1"/>
    </xf>
    <xf numFmtId="0" fontId="2" fillId="8" borderId="0" xfId="0" applyFont="1" applyFill="1" applyAlignment="1" applyProtection="1">
      <alignment horizontal="left" vertic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11" fillId="25" borderId="16" xfId="0" applyFont="1" applyFill="1" applyBorder="1" applyAlignment="1" applyProtection="1">
      <alignment horizontal="center" vertical="center" wrapText="1" readingOrder="1"/>
      <protection hidden="1"/>
    </xf>
    <xf numFmtId="0" fontId="11" fillId="25" borderId="20" xfId="0" applyFont="1" applyFill="1" applyBorder="1" applyAlignment="1" applyProtection="1">
      <alignment horizontal="center" vertical="center" wrapText="1" readingOrder="1"/>
      <protection hidden="1"/>
    </xf>
    <xf numFmtId="0" fontId="11" fillId="25" borderId="25" xfId="0" applyFont="1" applyFill="1" applyBorder="1" applyAlignment="1" applyProtection="1">
      <alignment horizontal="center" vertical="center" wrapText="1" readingOrder="1"/>
      <protection hidden="1"/>
    </xf>
    <xf numFmtId="0" fontId="35" fillId="25" borderId="17" xfId="0" applyFont="1" applyFill="1" applyBorder="1" applyAlignment="1" applyProtection="1">
      <alignment horizontal="center" vertical="center" readingOrder="1"/>
      <protection hidden="1"/>
    </xf>
    <xf numFmtId="0" fontId="35" fillId="25" borderId="18" xfId="0" applyFont="1" applyFill="1" applyBorder="1" applyAlignment="1" applyProtection="1">
      <alignment horizontal="center" vertical="center" readingOrder="1"/>
      <protection hidden="1"/>
    </xf>
    <xf numFmtId="0" fontId="35" fillId="25" borderId="19" xfId="0" applyFont="1" applyFill="1" applyBorder="1" applyAlignment="1" applyProtection="1">
      <alignment horizontal="center" vertical="center" readingOrder="1"/>
      <protection hidden="1"/>
    </xf>
    <xf numFmtId="0" fontId="35" fillId="25" borderId="21" xfId="0" applyFont="1" applyFill="1" applyBorder="1" applyAlignment="1" applyProtection="1">
      <alignment horizontal="center" vertical="center" readingOrder="1"/>
      <protection hidden="1"/>
    </xf>
    <xf numFmtId="0" fontId="35" fillId="25" borderId="0" xfId="0" applyFont="1" applyFill="1" applyBorder="1" applyAlignment="1" applyProtection="1">
      <alignment horizontal="center" vertical="center" readingOrder="1"/>
      <protection hidden="1"/>
    </xf>
    <xf numFmtId="0" fontId="35" fillId="25" borderId="22" xfId="0" applyFont="1" applyFill="1" applyBorder="1" applyAlignment="1" applyProtection="1">
      <alignment horizontal="center" vertical="center" readingOrder="1"/>
      <protection hidden="1"/>
    </xf>
    <xf numFmtId="0" fontId="35" fillId="25" borderId="23" xfId="0" applyFont="1" applyFill="1" applyBorder="1" applyAlignment="1" applyProtection="1">
      <alignment horizontal="center" vertical="center" readingOrder="1"/>
      <protection hidden="1"/>
    </xf>
    <xf numFmtId="0" fontId="35" fillId="25" borderId="15" xfId="0" applyFont="1" applyFill="1" applyBorder="1" applyAlignment="1" applyProtection="1">
      <alignment horizontal="center" vertical="center" readingOrder="1"/>
      <protection hidden="1"/>
    </xf>
    <xf numFmtId="0" fontId="35" fillId="25" borderId="24" xfId="0" applyFont="1" applyFill="1" applyBorder="1" applyAlignment="1" applyProtection="1">
      <alignment horizontal="center" vertical="center" readingOrder="1"/>
      <protection hidden="1"/>
    </xf>
    <xf numFmtId="0" fontId="10" fillId="25" borderId="16" xfId="0" applyFont="1" applyFill="1" applyBorder="1" applyAlignment="1" applyProtection="1">
      <alignment horizontal="center" vertical="center" readingOrder="1"/>
      <protection hidden="1"/>
    </xf>
    <xf numFmtId="0" fontId="10" fillId="25" borderId="20" xfId="0" applyFont="1" applyFill="1" applyBorder="1" applyAlignment="1" applyProtection="1">
      <alignment horizontal="center" vertical="center" readingOrder="1"/>
      <protection hidden="1"/>
    </xf>
    <xf numFmtId="0" fontId="10" fillId="25" borderId="25" xfId="0" applyFont="1" applyFill="1" applyBorder="1" applyAlignment="1" applyProtection="1">
      <alignment horizontal="center" vertical="center" readingOrder="1"/>
      <protection hidden="1"/>
    </xf>
    <xf numFmtId="0" fontId="35" fillId="25" borderId="16" xfId="0" applyFont="1" applyFill="1" applyBorder="1" applyAlignment="1" applyProtection="1">
      <alignment horizontal="center" vertical="center" readingOrder="1"/>
      <protection hidden="1"/>
    </xf>
    <xf numFmtId="0" fontId="35" fillId="25" borderId="20" xfId="0" applyFont="1" applyFill="1" applyBorder="1" applyAlignment="1" applyProtection="1">
      <alignment horizontal="center" vertical="center" readingOrder="1"/>
      <protection hidden="1"/>
    </xf>
    <xf numFmtId="0" fontId="35" fillId="25" borderId="25" xfId="0" applyFont="1" applyFill="1" applyBorder="1" applyAlignment="1" applyProtection="1">
      <alignment horizontal="center" vertical="center" readingOrder="1"/>
      <protection hidden="1"/>
    </xf>
    <xf numFmtId="0" fontId="35" fillId="25" borderId="16" xfId="0" applyFont="1" applyFill="1" applyBorder="1" applyAlignment="1" applyProtection="1">
      <alignment horizontal="center" vertical="center" wrapText="1" readingOrder="1"/>
      <protection hidden="1"/>
    </xf>
    <xf numFmtId="0" fontId="35" fillId="25" borderId="20" xfId="0" applyFont="1" applyFill="1" applyBorder="1" applyAlignment="1" applyProtection="1">
      <alignment horizontal="center" vertical="center" wrapText="1" readingOrder="1"/>
      <protection hidden="1"/>
    </xf>
    <xf numFmtId="0" fontId="35" fillId="25" borderId="25" xfId="0" applyFont="1" applyFill="1" applyBorder="1" applyAlignment="1" applyProtection="1">
      <alignment horizontal="center" vertical="center" wrapText="1" readingOrder="1"/>
      <protection hidden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D5E3FF"/>
      <color rgb="FFAFCA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304799</xdr:colOff>
      <xdr:row>0</xdr:row>
      <xdr:rowOff>219075</xdr:rowOff>
    </xdr:from>
    <xdr:to>
      <xdr:col>0</xdr:col>
      <xdr:colOff>3505199</xdr:colOff>
      <xdr:row>1</xdr:row>
      <xdr:rowOff>68580</xdr:rowOff>
    </xdr:to>
    <xdr:grpSp>
      <xdr:nvGrpSpPr>
        <xdr:cNvPr id="2" name="Group 1"/>
        <xdr:cNvGrpSpPr/>
      </xdr:nvGrpSpPr>
      <xdr:grpSpPr>
        <a:xfrm>
          <a:off x="304799" y="219075"/>
          <a:ext cx="3200400" cy="177165"/>
          <a:chOff x="371475" y="200024"/>
          <a:chExt cx="2752725" cy="182880"/>
        </a:xfrm>
      </xdr:grpSpPr>
      <xdr:cxnSp macro="">
        <xdr:nvCxnSpPr>
          <xdr:cNvPr id="3" name="Straight Connector 2"/>
          <xdr:cNvCxnSpPr/>
        </xdr:nvCxnSpPr>
        <xdr:spPr>
          <a:xfrm flipH="1" flipV="1">
            <a:off x="381000" y="209550"/>
            <a:ext cx="2743200" cy="0"/>
          </a:xfrm>
          <a:prstGeom prst="line">
            <a:avLst/>
          </a:prstGeom>
          <a:ln w="317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Straight Arrow Connector 3"/>
          <xdr:cNvCxnSpPr/>
        </xdr:nvCxnSpPr>
        <xdr:spPr>
          <a:xfrm flipH="1">
            <a:off x="371475" y="200024"/>
            <a:ext cx="0" cy="182880"/>
          </a:xfrm>
          <a:prstGeom prst="straightConnector1">
            <a:avLst/>
          </a:prstGeom>
          <a:ln w="31750">
            <a:solidFill>
              <a:srgbClr val="FF0000"/>
            </a:solidFill>
            <a:tailEnd type="stealth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</sheetPr>
  <dimension ref="A1:CJ36"/>
  <sheetViews>
    <sheetView showGridLines="0"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3" sqref="B3:C3"/>
    </sheetView>
  </sheetViews>
  <sheetFormatPr defaultColWidth="9.09765625" defaultRowHeight="21" x14ac:dyDescent="0.4"/>
  <cols>
    <col min="1" max="1" width="79.8984375" style="65" customWidth="1"/>
    <col min="2" max="10" width="4" style="65" customWidth="1"/>
    <col min="11" max="11" width="17.8984375" style="65" customWidth="1"/>
    <col min="12" max="12" width="9.09765625" style="65" customWidth="1"/>
    <col min="13" max="15" width="9" style="65" customWidth="1"/>
    <col min="16" max="17" width="9.69921875" style="65" customWidth="1"/>
    <col min="18" max="78" width="9.09765625" style="65" customWidth="1"/>
    <col min="79" max="79" width="9.59765625" style="65" hidden="1" customWidth="1"/>
    <col min="80" max="88" width="9.09765625" style="65" hidden="1" customWidth="1"/>
    <col min="89" max="95" width="9.09765625" style="65" customWidth="1"/>
    <col min="96" max="16384" width="9.09765625" style="65"/>
  </cols>
  <sheetData>
    <row r="1" spans="1:82" ht="25.8" x14ac:dyDescent="0.5">
      <c r="A1" s="91" t="s">
        <v>51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82" ht="25.8" x14ac:dyDescent="0.4">
      <c r="A2" s="92"/>
      <c r="B2" s="93"/>
      <c r="C2" s="93"/>
      <c r="D2" s="93"/>
      <c r="E2" s="93"/>
      <c r="F2" s="93"/>
      <c r="G2" s="93"/>
      <c r="H2" s="93"/>
      <c r="I2" s="93"/>
      <c r="J2" s="93"/>
      <c r="K2" s="94"/>
    </row>
    <row r="3" spans="1:82" ht="45.75" customHeight="1" x14ac:dyDescent="0.4">
      <c r="A3" s="1" t="s">
        <v>0</v>
      </c>
      <c r="B3" s="95"/>
      <c r="C3" s="96"/>
      <c r="D3" s="97" t="s">
        <v>1</v>
      </c>
      <c r="E3" s="97"/>
      <c r="F3" s="97"/>
      <c r="G3" s="84">
        <v>1</v>
      </c>
      <c r="H3" s="98" t="s">
        <v>2</v>
      </c>
      <c r="I3" s="99"/>
      <c r="J3" s="99"/>
      <c r="K3" s="100"/>
      <c r="L3" s="2" t="str">
        <f>IF(AND(G3&lt;&gt;1,G3&lt;&gt;2),"เลขสถาบันกลุ่มไม่ถูกต้อง","")</f>
        <v/>
      </c>
    </row>
    <row r="4" spans="1:82" ht="23.4" x14ac:dyDescent="0.4">
      <c r="A4" s="101" t="s">
        <v>3</v>
      </c>
      <c r="B4" s="104" t="s">
        <v>4</v>
      </c>
      <c r="C4" s="104"/>
      <c r="D4" s="104"/>
      <c r="E4" s="104"/>
      <c r="F4" s="104"/>
      <c r="G4" s="104"/>
      <c r="H4" s="104"/>
      <c r="I4" s="104"/>
      <c r="J4" s="104"/>
      <c r="K4" s="105" t="s">
        <v>5</v>
      </c>
    </row>
    <row r="5" spans="1:82" x14ac:dyDescent="0.4">
      <c r="A5" s="102"/>
      <c r="B5" s="108" t="s">
        <v>6</v>
      </c>
      <c r="C5" s="109"/>
      <c r="D5" s="109"/>
      <c r="E5" s="109"/>
      <c r="F5" s="110"/>
      <c r="G5" s="111" t="s">
        <v>7</v>
      </c>
      <c r="H5" s="112"/>
      <c r="I5" s="112"/>
      <c r="J5" s="113"/>
      <c r="K5" s="106"/>
    </row>
    <row r="6" spans="1:82" x14ac:dyDescent="0.4">
      <c r="A6" s="103"/>
      <c r="B6" s="108" t="s">
        <v>8</v>
      </c>
      <c r="C6" s="109"/>
      <c r="D6" s="109"/>
      <c r="E6" s="109"/>
      <c r="F6" s="110"/>
      <c r="G6" s="114"/>
      <c r="H6" s="115"/>
      <c r="I6" s="115"/>
      <c r="J6" s="116"/>
      <c r="K6" s="107"/>
    </row>
    <row r="7" spans="1:82" ht="23.4" x14ac:dyDescent="0.45">
      <c r="A7" s="117" t="s">
        <v>9</v>
      </c>
      <c r="B7" s="119"/>
      <c r="C7" s="119"/>
      <c r="D7" s="119"/>
      <c r="E7" s="119"/>
      <c r="F7" s="119"/>
      <c r="G7" s="120" t="str">
        <f>IF(AND(G3&lt;&gt;1,G3&lt;&gt;2),"",IF(OR(B7="",B7&lt;0,B8="",B8&lt;0,B8&lt;&gt;ROUND(B8,0)),"","คะแนนเฉลี่ย"))</f>
        <v/>
      </c>
      <c r="H7" s="121"/>
      <c r="I7" s="129" t="str">
        <f>IF(AND(G3&lt;&gt;1,G3&lt;&gt;2),"",IF(B3&lt;B8,"Error",IF(OR(B7="",B7&lt;0,B8="",B8&lt;0,B8&lt;&gt;ROUND(B8,0)),"",ROUND(B7/B8,2))))</f>
        <v/>
      </c>
      <c r="J7" s="130"/>
      <c r="K7" s="88" t="str">
        <f>IF(AND(G3&lt;&gt;1,G3&lt;&gt;2),"",IF(OR(B7&lt;0,B8&lt;0,B8&lt;&gt;ROUND(B8,0)),"Error",IF(AND(B7&lt;&gt;"",B8&lt;&gt;"",I7&gt;5),"Error",IF(OR(B7="",B8=""),"",I7))))</f>
        <v/>
      </c>
      <c r="L7" s="3" t="str">
        <f>IF(B7&lt;0,"ผลรวมของค่าคะแนน ต้องไม่ติดลบ",IF(B8&lt;0,"จำนวนหลักสูตร ต้องไม่ติดลบ",IF(B8&lt;&gt;ROUND(B8,0),"จำนวนหลักสูตร ต้องไม่เป็นทศนิยม",IF(B3&lt;B8,"จำนวนหลักสูตรที่คณะรับผิดชอบรวมทุกระดับ ต้องไม่น้อยกว่าจำนวนหลักสูตรในตัวบ่งชี้ที่ 1.1",IF(I7="","",IF(I7&gt;5,"คะแนนเฉลี่ย ต้องมีค่าไม่เกิน 5.00",""))))))</f>
        <v/>
      </c>
    </row>
    <row r="8" spans="1:82" ht="23.4" x14ac:dyDescent="0.45">
      <c r="A8" s="118"/>
      <c r="B8" s="90"/>
      <c r="C8" s="90"/>
      <c r="D8" s="90"/>
      <c r="E8" s="90"/>
      <c r="F8" s="90"/>
      <c r="G8" s="122"/>
      <c r="H8" s="123"/>
      <c r="I8" s="131"/>
      <c r="J8" s="132"/>
      <c r="K8" s="89"/>
      <c r="L8" s="3" t="str">
        <f>IF(AND(A2="",B3&lt;&gt;""),"ต้องใส่ชื่อหลักสูตร",IF(AND(A2&lt;&gt;"",B7=""),"ต้องใส่จำนวนหลักสูตรที่คณะรับผิดชอบทั้งหมดทุกระดับ",""))</f>
        <v/>
      </c>
    </row>
    <row r="9" spans="1:82" ht="28.5" customHeight="1" x14ac:dyDescent="0.4">
      <c r="A9" s="66" t="s">
        <v>10</v>
      </c>
      <c r="B9" s="133"/>
      <c r="C9" s="133"/>
      <c r="D9" s="133"/>
      <c r="E9" s="133"/>
      <c r="F9" s="63" t="str">
        <f>IF(AND(G3&lt;&gt;1,G3&lt;&gt;2),"",IF(OR(B9="",B9&lt;0,D9="",D9&lt;0),"","ร้อยละ"))</f>
        <v/>
      </c>
      <c r="G9" s="134" t="str">
        <f>IF(AND(G3&lt;&gt;1,G3&lt;&gt;2),"",IF(OR(B9="",B9&lt;0,D9="",D9&lt;0),"",IF(OR(AND(D10&lt;&gt;"",D9&lt;&gt;D10),B9*100/D9&gt;100),"Error",B9*100/D9)))</f>
        <v/>
      </c>
      <c r="H9" s="118"/>
      <c r="I9" s="135" t="str">
        <f>IF(AND(G3&lt;&gt;1,G3&lt;&gt;2),"",IF(OR(B9="",D9=""),"",IF(OR(B9&lt;0,D9&lt;=0,AND(B9*100/D9&lt;0,B9*100/D9&gt;100),B9&gt;D9),"Error",IF(AND(D10&lt;&gt;"",D9&lt;&gt;D10),"Error",IF(OR(AND(G$3=1,ROUND(B9*100/D9*5/40,2)&gt;5),AND(G$3=2,ROUND(B9*100/D9*5/80,2)&gt;5)),5,IF(G$3=1,ROUND(B9*100/D9*5/40,2),ROUND(B9*100/D9*5/80,2)))))))</f>
        <v/>
      </c>
      <c r="J9" s="136"/>
      <c r="K9" s="4" t="str">
        <f>IF(AND(G3&lt;&gt;1,G3&lt;&gt;2),"",IF(OR(G$3=1,G$3=2,I9&lt;&gt;""),I9,""))</f>
        <v/>
      </c>
      <c r="L9" s="5" t="str">
        <f>IF(B9&lt;0,"จำนวนอาจารย์ประจำคณะที่มีคุณวุฒิปริญญาเอก ต้องไม่ติดลบ",IF(D9&lt;0,"จำนวนอาจารย์ประจำคณะทั้งหมด ต้องไม่ติดลบ",IF(AND(D9&lt;&gt;"",B9&gt;D9),"อาจารย์ประจำคณะที่มีคุณวุฒิปริญญาเอก ต้องไม่มากกว่าอาจารย์ประจำคณะทั้งหมด",IF(AND(D10&lt;&gt;"",D9=""),"",IF(AND(D10&lt;&gt;"",D9&lt;&gt;D10),"จำนวนอาจารย์ประจำคณะทั้งหมด ต้องเท่ากับตัวบ่งชี้ที่ 1.3",IF(D9="","",IF(B9*100/D9&gt;100,"ค่าร้อยละต้องไม่เกิน 100","")))))))</f>
        <v/>
      </c>
      <c r="M9" s="6"/>
      <c r="N9" s="6"/>
      <c r="O9" s="6"/>
      <c r="P9" s="67"/>
      <c r="Q9" s="67"/>
      <c r="R9" s="67"/>
      <c r="S9" s="67"/>
      <c r="T9" s="67"/>
      <c r="U9" s="68"/>
      <c r="V9" s="69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1"/>
      <c r="BJ9" s="71"/>
      <c r="CA9" s="70"/>
      <c r="CB9" s="70"/>
      <c r="CC9" s="70"/>
      <c r="CD9" s="70"/>
    </row>
    <row r="10" spans="1:82" ht="28.5" customHeight="1" x14ac:dyDescent="0.4">
      <c r="A10" s="72" t="s">
        <v>11</v>
      </c>
      <c r="B10" s="133"/>
      <c r="C10" s="133"/>
      <c r="D10" s="133"/>
      <c r="E10" s="133"/>
      <c r="F10" s="63" t="str">
        <f>IF(AND(G3&lt;&gt;1,G3&lt;&gt;2),"",IF(OR(B10="",B10&lt;0,D10="",D10&lt;0),"","ร้อยละ"))</f>
        <v/>
      </c>
      <c r="G10" s="134" t="str">
        <f>IF(AND(G3&lt;&gt;1,G3&lt;&gt;2),"",IF(OR(B10="",B10&lt;0,D10="",D10&lt;0),"",IF(OR(AND(D9&lt;&gt;"",D9&lt;&gt;D10),B10*100/D10&gt;100),"Error",B10*100/D10)))</f>
        <v/>
      </c>
      <c r="H10" s="118"/>
      <c r="I10" s="135" t="str">
        <f>IF(AND(G3&lt;&gt;1,G3&lt;&gt;2),"",IF(OR(B10="",D10=""),"",IF(OR(B10&lt;0,D10&lt;=0,AND(B10*100/D10&lt;0,B10*100/D10&gt;100),B10&gt;D10),"Error",IF(AND(D9&lt;&gt;"",D9&lt;&gt;D10),"Error",IF(OR(AND(G$3=1,ROUND(B10*100/D10*5/60,2)&gt;5),AND(G$3=2,ROUND(B10*100/D10*5/80,2)&gt;5)),5,IF(G$3=1,ROUND(B10*100/D10*5/60,2),ROUND(B10*100/D10*5/80,2)))))))</f>
        <v/>
      </c>
      <c r="J10" s="136"/>
      <c r="K10" s="4" t="str">
        <f>IF(AND(G3&lt;&gt;1,G3&lt;&gt;2),"",IF(OR(G$3=1,G$3=2,I10&lt;&gt;""),I10,""))</f>
        <v/>
      </c>
      <c r="L10" s="5" t="str">
        <f>IF(B10&lt;0,"จำนวนอาจารย์ประจำคณะที่มีคุณวุฒิปริญญาเอก ต้องไม่ติดลบ",IF(D10&lt;0,"จำนวนอาจารย์ประจำคณะทั้งหมด ต้องไม่ติดลบ",IF(AND(D10&lt;&gt;"",B10&gt;D10),"อาจารย์ประจำคณะที่มีคุณวุฒิปริญญาเอก ต้องไม่มากกว่าอาจารย์ประจำคณะทั้งหมด",IF(AND(D9&lt;&gt;"",D10=""),"",IF(AND(D9&lt;&gt;"",D10&lt;&gt;D9),"จำนวนอาจารย์ประจำคณะทั้งหมด ต้องเท่ากับตัวบ่งชี้ที่ 1.2",IF(D10="","",IF(B10*100/D10&gt;100,"ค่าร้อยละต้องไม่เกิน 100","")))))))</f>
        <v/>
      </c>
      <c r="M10" s="6"/>
      <c r="N10" s="6"/>
      <c r="O10" s="6"/>
      <c r="P10" s="67"/>
      <c r="Q10" s="67"/>
      <c r="R10" s="67"/>
      <c r="S10" s="67"/>
      <c r="T10" s="67"/>
      <c r="U10" s="68"/>
      <c r="V10" s="69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1"/>
      <c r="BJ10" s="71"/>
      <c r="CA10" s="70"/>
      <c r="CB10" s="70"/>
      <c r="CC10" s="70"/>
      <c r="CD10" s="70"/>
    </row>
    <row r="11" spans="1:82" ht="23.25" customHeight="1" x14ac:dyDescent="0.4">
      <c r="A11" s="148" t="s">
        <v>52</v>
      </c>
      <c r="B11" s="151" t="s">
        <v>12</v>
      </c>
      <c r="C11" s="151"/>
      <c r="D11" s="151"/>
      <c r="E11" s="151"/>
      <c r="F11" s="127" t="str">
        <f>IF(AND(P11="",Q11=""),"",P11+(2*Q11))</f>
        <v/>
      </c>
      <c r="G11" s="128"/>
      <c r="H11" s="124"/>
      <c r="I11" s="125"/>
      <c r="J11" s="83"/>
      <c r="K11" s="152" t="str">
        <f>IF(OR(COUNT(CB11:CB19)=0,AND(G3&lt;&gt;1,G3&lt;&gt;2)),"",IF(OR(AND(F23&lt;&gt;"",SUM(H11:H13)&gt;F23),AND(F24&lt;&gt;"",SUM(H14:H16)&gt;F24),AND(F25&lt;&gt;"",SUM(H17:H19)&gt;F25),P11&lt;0,Q11&lt;0,H11&lt;0,P12&lt;0,Q12&lt;0,H12&lt;0,P13&lt;0,Q13&lt;0,H13&lt;0,P14&lt;0,Q14&lt;0,H14&lt;0,P15&lt;0,Q15&lt;0,H15&lt;0,P16&lt;0,Q16&lt;0,H16&lt;0,P17&lt;0,Q17&lt;0,H17&lt;0,P18&lt;0,Q18&lt;0,H18&lt;0,P19&lt;0,Q19&lt;0,H19&lt;0),"Error",IF(OR(SUM(H11:H19)=0,D9&lt;SUM(H11:H19)),"Error",IF(AND(F11="",F12="",F13="",F14="",F15="",F16="",F17="",F18="",F19=""),"",AVERAGE(CB11:CB19)))))</f>
        <v/>
      </c>
      <c r="L11" s="62" t="str">
        <f>IF(OR(F11="",H11=""),"",IF(OR(P11&lt;0,Q11&lt;0),"จำนวน FTES ต้องไม่ติดลบ",IF(H11&lt;0,"จำนวนอาจารย์ประจำคณะ ต้องไม่ติดลบ",IF(D9&lt;SUM(H11:I19),"จำนวนอาจารย์ประจำมากกว่า ตบช 1.2",IF(AND(H26&lt;&gt;"",H11&gt;H26),"อจ.ทำงานจริงมากกว่าอจ.และนักวิจัยใน 2.3","")))))</f>
        <v/>
      </c>
      <c r="P11" s="7"/>
      <c r="Q11" s="8"/>
      <c r="T11" s="67"/>
      <c r="U11" s="68"/>
      <c r="V11" s="69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1"/>
      <c r="BJ11" s="71"/>
      <c r="CA11" s="64" t="str">
        <f>IF(OR(J11="",AND(P11="",Q11="")),"",(F11/H11-J11)*100/J11)</f>
        <v/>
      </c>
      <c r="CB11" s="9" t="str">
        <f>IF(CA11="","",IF(CA11&lt;=0,5,IF(CA11&gt;=20,0,IF(CA11&lt;20,5-CA11/4))))</f>
        <v/>
      </c>
    </row>
    <row r="12" spans="1:82" ht="23.25" customHeight="1" x14ac:dyDescent="0.4">
      <c r="A12" s="149"/>
      <c r="B12" s="151" t="s">
        <v>13</v>
      </c>
      <c r="C12" s="151"/>
      <c r="D12" s="151"/>
      <c r="E12" s="151"/>
      <c r="F12" s="127" t="str">
        <f t="shared" ref="F12" si="0">IF(AND(P12="",Q12=""),"",P12+(2*Q12))</f>
        <v/>
      </c>
      <c r="G12" s="128"/>
      <c r="H12" s="124"/>
      <c r="I12" s="125"/>
      <c r="J12" s="83"/>
      <c r="K12" s="153"/>
      <c r="L12" s="62" t="str">
        <f>IF(OR(F12="",H12=""),"",IF(OR(P12&lt;0,Q12&lt;0),"จำนวน FTES ต้องไม่ติดลบ",IF(H12&lt;0,"จำนวนอาจารย์ประจำคณะ ต้องไม่ติดลบ",IF(D9&lt;SUM(H11:I19),"จำนวนอาจารย์ประจำมากกว่า ตบช 1.2",IF(AND(H26&lt;&gt;"",H12&gt;H26),"อจ.ทำงานจริงมากกว่าอจ.และนักวิจัยใน 2.3","")))))</f>
        <v/>
      </c>
      <c r="P12" s="7"/>
      <c r="Q12" s="8"/>
      <c r="T12" s="67"/>
      <c r="U12" s="68"/>
      <c r="V12" s="69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1"/>
      <c r="BJ12" s="71"/>
      <c r="CA12" s="64" t="str">
        <f t="shared" ref="CA12:CA13" si="1">IF(OR(J12="",AND(P12="",Q12="")),"",(F12/H12-J12)*100/J12)</f>
        <v/>
      </c>
      <c r="CB12" s="9" t="str">
        <f t="shared" ref="CB12:CB13" si="2">IF(CA12="","",IF(CA12&lt;=0,5,IF(CA12&gt;=20,0,IF(CA12&lt;20,5-CA12/4))))</f>
        <v/>
      </c>
    </row>
    <row r="13" spans="1:82" ht="23.25" customHeight="1" x14ac:dyDescent="0.4">
      <c r="A13" s="149"/>
      <c r="B13" s="151" t="s">
        <v>14</v>
      </c>
      <c r="C13" s="151"/>
      <c r="D13" s="151"/>
      <c r="E13" s="151"/>
      <c r="F13" s="127" t="str">
        <f t="shared" ref="F13" si="3">IF(AND(P13="",Q13=""),"",P13+(2*Q13))</f>
        <v/>
      </c>
      <c r="G13" s="128"/>
      <c r="H13" s="124"/>
      <c r="I13" s="125"/>
      <c r="J13" s="83"/>
      <c r="K13" s="153"/>
      <c r="L13" s="62" t="str">
        <f>IF(OR(F13="",H13=""),"",IF(OR(P13&lt;0,Q13&lt;0),"จำนวน FTES ต้องไม่ติดลบ",IF(H13&lt;0,"จำนวนอาจารย์ประจำคณะ ต้องไม่ติดลบ",IF(D9&lt;SUM(H11:I19),"จำนวนอาจารย์ประจำมากกว่า ตบช 1.2",IF(AND(H26&lt;&gt;"",H13&gt;H26),"อจ.ทำงานจริงมากกว่าอจ.และนักวิจัยใน 2.3","")))))</f>
        <v/>
      </c>
      <c r="P13" s="7"/>
      <c r="Q13" s="8"/>
      <c r="T13" s="67"/>
      <c r="U13" s="68"/>
      <c r="V13" s="69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1"/>
      <c r="BJ13" s="71"/>
      <c r="CA13" s="64" t="str">
        <f t="shared" si="1"/>
        <v/>
      </c>
      <c r="CB13" s="9" t="str">
        <f t="shared" si="2"/>
        <v/>
      </c>
    </row>
    <row r="14" spans="1:82" ht="23.25" customHeight="1" x14ac:dyDescent="0.4">
      <c r="A14" s="149"/>
      <c r="B14" s="126" t="s">
        <v>15</v>
      </c>
      <c r="C14" s="126"/>
      <c r="D14" s="126"/>
      <c r="E14" s="126"/>
      <c r="F14" s="127" t="str">
        <f>IF(AND(P14="",Q14=""),"",P14+Q14)</f>
        <v/>
      </c>
      <c r="G14" s="128"/>
      <c r="H14" s="124"/>
      <c r="I14" s="125"/>
      <c r="J14" s="83"/>
      <c r="K14" s="153"/>
      <c r="L14" s="62" t="str">
        <f>IF(OR(F14="",H14=""),"",IF(OR(P14&lt;0,Q14&lt;0),"จำนวน FTES ต้องไม่ติดลบ",IF(H14&lt;0,"จำนวนอาจารย์ประจำคณะ ต้องไม่ติดลบ",IF(D9&lt;SUM(H11:I19),"จำนวนอาจารย์ประจำมากกว่า ตบช 1.2",IF(AND(H$27&lt;&gt;"",H14&gt;H$27),"อจ.ทำงานจริงมากกว่าอจ.และนักวิจัยใน 2.3","")))))</f>
        <v/>
      </c>
      <c r="P14" s="7"/>
      <c r="Q14" s="8"/>
      <c r="T14" s="67"/>
      <c r="U14" s="68"/>
      <c r="V14" s="69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1"/>
      <c r="BJ14" s="71"/>
      <c r="CA14" s="64" t="str">
        <f>IF(OR(J14="",AND(P14="",Q14="")),"",(F14/H14-J14)*100/J14)</f>
        <v/>
      </c>
      <c r="CB14" s="9" t="str">
        <f t="shared" ref="CB14:CB19" si="4">IF(CA14="","",IF(CA14&lt;=0,5,IF(CA14&gt;=20,0,IF(CA14&lt;20,5-CA14/4))))</f>
        <v/>
      </c>
    </row>
    <row r="15" spans="1:82" ht="23.25" customHeight="1" x14ac:dyDescent="0.4">
      <c r="A15" s="149"/>
      <c r="B15" s="126" t="s">
        <v>16</v>
      </c>
      <c r="C15" s="126"/>
      <c r="D15" s="126"/>
      <c r="E15" s="126"/>
      <c r="F15" s="127" t="str">
        <f t="shared" ref="F15" si="5">IF(AND(P15="",Q15=""),"",P15+Q15)</f>
        <v/>
      </c>
      <c r="G15" s="128"/>
      <c r="H15" s="124"/>
      <c r="I15" s="125"/>
      <c r="J15" s="83"/>
      <c r="K15" s="153"/>
      <c r="L15" s="62" t="str">
        <f>IF(OR(F15="",H15=""),"",IF(OR(P15&lt;0,Q15&lt;0),"จำนวน FTES ต้องไม่ติดลบ",IF(H15&lt;0,"จำนวนอาจารย์ประจำคณะ ต้องไม่ติดลบ",IF(D9&lt;SUM(H11:I19),"จำนวนอาจารย์ประจำมากกว่า ตบช 1.2",IF(AND(H$27&lt;&gt;"",H15&gt;H$27),"อจ.ทำงานจริงมากกว่าอจ.และนักวิจัยใน 2.3","")))))</f>
        <v/>
      </c>
      <c r="P15" s="7"/>
      <c r="Q15" s="8"/>
      <c r="T15" s="67"/>
      <c r="U15" s="68"/>
      <c r="V15" s="69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1"/>
      <c r="BJ15" s="71"/>
      <c r="CA15" s="64" t="str">
        <f t="shared" ref="CA15:CA16" si="6">IF(OR(J15="",AND(P15="",Q15="")),"",(F15/H15-J15)*100/J15)</f>
        <v/>
      </c>
      <c r="CB15" s="9" t="str">
        <f t="shared" si="4"/>
        <v/>
      </c>
    </row>
    <row r="16" spans="1:82" ht="23.25" customHeight="1" x14ac:dyDescent="0.4">
      <c r="A16" s="149"/>
      <c r="B16" s="126" t="s">
        <v>17</v>
      </c>
      <c r="C16" s="126"/>
      <c r="D16" s="126"/>
      <c r="E16" s="126"/>
      <c r="F16" s="127" t="str">
        <f t="shared" ref="F16" si="7">IF(AND(P16="",Q16=""),"",P16+Q16)</f>
        <v/>
      </c>
      <c r="G16" s="128"/>
      <c r="H16" s="124"/>
      <c r="I16" s="125"/>
      <c r="J16" s="83"/>
      <c r="K16" s="153"/>
      <c r="L16" s="62" t="str">
        <f>IF(OR(F16="",H16=""),"",IF(OR(P16&lt;0,Q16&lt;0),"จำนวน FTES ต้องไม่ติดลบ",IF(H16&lt;0,"จำนวนอาจารย์ประจำคณะ ต้องไม่ติดลบ",IF(D9&lt;SUM(H11:I19),"จำนวนอาจารย์ประจำมากกว่า ตบช 1.2",IF(AND(H$27&lt;&gt;"",H16&gt;H$27),"อจ.ทำงานจริงมากกว่าอจ.และนักวิจัยใน 2.3","")))))</f>
        <v/>
      </c>
      <c r="P16" s="7"/>
      <c r="Q16" s="8"/>
      <c r="T16" s="67"/>
      <c r="U16" s="68"/>
      <c r="V16" s="69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1"/>
      <c r="BJ16" s="71"/>
      <c r="CA16" s="64" t="str">
        <f t="shared" si="6"/>
        <v/>
      </c>
      <c r="CB16" s="9" t="str">
        <f t="shared" si="4"/>
        <v/>
      </c>
    </row>
    <row r="17" spans="1:88" ht="23.25" customHeight="1" x14ac:dyDescent="0.4">
      <c r="A17" s="149"/>
      <c r="B17" s="155" t="s">
        <v>18</v>
      </c>
      <c r="C17" s="155"/>
      <c r="D17" s="155"/>
      <c r="E17" s="155"/>
      <c r="F17" s="127" t="str">
        <f>IF(AND(P17="",Q17=""),"",P17+(1.8*Q17))</f>
        <v/>
      </c>
      <c r="G17" s="128"/>
      <c r="H17" s="124"/>
      <c r="I17" s="125"/>
      <c r="J17" s="83"/>
      <c r="K17" s="153"/>
      <c r="L17" s="62" t="str">
        <f>IF(OR(F17="",H17=""),"",IF(OR(P17&lt;0,Q17&lt;0),"จำนวน FTES ต้องไม่ติดลบ",IF(H17&lt;0,"จำนวนอาจารย์ประจำคณะ ต้องไม่ติดลบ",IF(D9&lt;SUM(H11:I19),"จำนวนอาจารย์ประจำมากกว่า ตบช 1.2",IF(AND(H28&lt;&gt;"",H17&gt;H28),"อจ.ทำงานจริงมากกว่าอจ.และนักวิจัยใน 2.3","")))))</f>
        <v/>
      </c>
      <c r="P17" s="7"/>
      <c r="Q17" s="8"/>
      <c r="T17" s="67"/>
      <c r="U17" s="68"/>
      <c r="V17" s="69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1"/>
      <c r="BJ17" s="71"/>
      <c r="CA17" s="64" t="str">
        <f>IF(OR(J17="",AND(P17="",Q17="")),"",(F17/H17-J17)*100/J17)</f>
        <v/>
      </c>
      <c r="CB17" s="9" t="str">
        <f t="shared" si="4"/>
        <v/>
      </c>
    </row>
    <row r="18" spans="1:88" ht="23.25" customHeight="1" x14ac:dyDescent="0.4">
      <c r="A18" s="149"/>
      <c r="B18" s="155" t="s">
        <v>19</v>
      </c>
      <c r="C18" s="155"/>
      <c r="D18" s="155"/>
      <c r="E18" s="155"/>
      <c r="F18" s="127" t="str">
        <f t="shared" ref="F18:F19" si="8">IF(AND(P18="",Q18=""),"",P18+(1.8*Q18))</f>
        <v/>
      </c>
      <c r="G18" s="128"/>
      <c r="H18" s="124"/>
      <c r="I18" s="125"/>
      <c r="J18" s="83"/>
      <c r="K18" s="153"/>
      <c r="L18" s="62" t="str">
        <f>IF(OR(F18="",H18=""),"",IF(OR(P18&lt;0,Q18&lt;0),"จำนวน FTES ต้องไม่ติดลบ",IF(H18&lt;0,"จำนวนอาจารย์ประจำคณะ ต้องไม่ติดลบ",IF(D9&lt;SUM(H11:I19),"จำนวนอาจารย์ประจำมากกว่า ตบช 1.2",IF(AND(H28&lt;&gt;"",H18&gt;H28),"อจ.ทำงานจริงมากกว่าอจ.และนักวิจัยใน 2.3","")))))</f>
        <v/>
      </c>
      <c r="P18" s="7"/>
      <c r="Q18" s="8"/>
      <c r="T18" s="67"/>
      <c r="U18" s="68"/>
      <c r="V18" s="69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1"/>
      <c r="BJ18" s="71"/>
      <c r="CA18" s="64" t="str">
        <f t="shared" ref="CA18:CA19" si="9">IF(OR(J18="",AND(P18="",Q18="")),"",(F18/H18-J18)*100/J18)</f>
        <v/>
      </c>
      <c r="CB18" s="9" t="str">
        <f t="shared" si="4"/>
        <v/>
      </c>
    </row>
    <row r="19" spans="1:88" ht="23.25" customHeight="1" x14ac:dyDescent="0.4">
      <c r="A19" s="150"/>
      <c r="B19" s="155" t="s">
        <v>20</v>
      </c>
      <c r="C19" s="155"/>
      <c r="D19" s="155"/>
      <c r="E19" s="155"/>
      <c r="F19" s="127" t="str">
        <f t="shared" si="8"/>
        <v/>
      </c>
      <c r="G19" s="128"/>
      <c r="H19" s="124"/>
      <c r="I19" s="125"/>
      <c r="J19" s="83"/>
      <c r="K19" s="154"/>
      <c r="L19" s="62" t="str">
        <f>IF(OR(F19="",H19=""),"",IF(OR(P19&lt;0,Q19&lt;0),"จำนวน FTES ต้องไม่ติดลบ",IF(H19&lt;0,"จำนวนอาจารย์ประจำคณะ ต้องไม่ติดลบ",IF(D9&lt;SUM(H11:I19),"จำนวนอาจารย์ประจำมากกว่า ตบช 1.2",IF(AND(H28&lt;&gt;"",H19&gt;H28),"อจ.ทำงานจริงมากกว่าอจ.และนักวิจัยใน 2.3","")))))</f>
        <v/>
      </c>
      <c r="P19" s="7"/>
      <c r="Q19" s="8"/>
      <c r="T19" s="67"/>
      <c r="U19" s="68"/>
      <c r="V19" s="69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1"/>
      <c r="BJ19" s="71"/>
      <c r="CA19" s="64" t="str">
        <f t="shared" si="9"/>
        <v/>
      </c>
      <c r="CB19" s="9" t="str">
        <f t="shared" si="4"/>
        <v/>
      </c>
    </row>
    <row r="20" spans="1:88" ht="28.8" x14ac:dyDescent="0.4">
      <c r="A20" s="73" t="s">
        <v>21</v>
      </c>
      <c r="B20" s="10"/>
      <c r="C20" s="10"/>
      <c r="D20" s="10"/>
      <c r="E20" s="10"/>
      <c r="F20" s="10"/>
      <c r="G20" s="10"/>
      <c r="H20" s="11"/>
      <c r="I20" s="12"/>
      <c r="J20" s="13"/>
      <c r="K20" s="14" t="str">
        <f>IF(AND(G3&lt;&gt;1,G3&lt;&gt;2),"",IF(OR(CG20="Error",CI20&lt;&gt;""),"Error",IF(AND(B20=0,CH20=1),0,IF(CH20="","",LOOKUP(CH20,{0,1,2,3,5,6},{0,1,2,3,4,5})))))</f>
        <v/>
      </c>
      <c r="L20" s="5" t="str">
        <f>IF(CI20&lt;&gt;"",CI20,IF(CG20="Error","ใส่เลขผิด",""))</f>
        <v/>
      </c>
      <c r="M20" s="6"/>
      <c r="N20" s="6"/>
      <c r="O20" s="15"/>
      <c r="P20" s="74"/>
      <c r="Q20" s="67"/>
      <c r="R20" s="67"/>
      <c r="S20" s="67"/>
      <c r="T20" s="67"/>
      <c r="U20" s="68"/>
      <c r="V20" s="69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1"/>
      <c r="BJ20" s="71"/>
      <c r="CA20" s="75" t="str">
        <f>IF(AND(B20="",C20="",D20="",E20="",F20="",G20=""),"",IF(AND(B20="",C20&lt;&gt;""),"space",IF(AND(C20&lt;&gt;"",B20&gt;C20),"ascending",IF(OR(B20="",B20=0,B20=1,B20=2,B20=3,B20=4,B20=5,B20=6),"","Error"))))</f>
        <v/>
      </c>
      <c r="CB20" s="75" t="str">
        <f>IF(AND(C20&lt;&gt;"",B20=C20),"ใส่เลขข้อซ้ำ",IF(AND(C20="",D20&lt;&gt;""),"space",IF(AND(D20&lt;&gt;"",C20&gt;D20),"ascending",IF(OR(C20="",C20=2,C20=3,C20=4,C20=5,C20=6),"","Error"))))</f>
        <v/>
      </c>
      <c r="CC20" s="75" t="str">
        <f>IF(AND(D20&lt;&gt;"",OR(B20=D20,C20=D20)),"ใส่เลขข้อซ้ำ",IF(AND(D20="",E20&lt;&gt;""),"space",IF(AND(E20&lt;&gt;"",D20&gt;E20),"ascending",IF(OR(D20="",D20=3,D20=4,D20=5,D20=6),"","Error"))))</f>
        <v/>
      </c>
      <c r="CD20" s="75" t="str">
        <f>IF(AND(E20&lt;&gt;"",OR(B20=E20,C20=E20,D20=E20)),"ใส่เลขข้อซ้ำ",IF(AND(E20="",F20&lt;&gt;""),"space",IF(AND(F20&lt;&gt;"",E20&gt;F20),"ascending",IF(OR(E20="",E20=4,E20=5,E20=6),"","Error"))))</f>
        <v/>
      </c>
      <c r="CE20" s="75" t="str">
        <f>IF(AND(F20&lt;&gt;"",OR(B20=F20,C20=F20,D20=F20,E20=F20)),"ใส่เลขข้อซ้ำ",IF(AND(F20="",G20&lt;&gt;""),"space",IF(AND(G20&lt;&gt;"",F20&gt;G20),"ascending",IF(OR(F20="",F20=5,F20=6),"","Error"))))</f>
        <v/>
      </c>
      <c r="CF20" s="76" t="str">
        <f>IF(AND(G20&lt;&gt;"",OR(B20=G20,C20=G20,D20=G20,E20=G20,F20=G20)),"ใส่เลขข้อซ้ำ",IF(OR(G20="",G20=6),"","Error"))</f>
        <v/>
      </c>
      <c r="CG20" s="77" t="str">
        <f>IF(COUNTIF(CA20:CF20,"Error")&gt;0,"Error","")</f>
        <v/>
      </c>
      <c r="CH20" s="78" t="str">
        <f>IF(COUNT(B20:G20)=0,"",COUNT(B20:G20))</f>
        <v/>
      </c>
      <c r="CI20" s="79" t="str">
        <f>IF(COUNTIF(CA20:CE20,"space")&gt;0,"ให้ใส่เลขข้อโดยไม่ข้ามช่องว่าง",IF(COUNTIF(CA20:CE20,"ascending")&gt;0,"ให้เรียงเลขข้อจากน้อยไปมาก",IF(COUNTIF(CB20:CF20,"ใส่เลขข้อซ้ำ")&gt;0,"ใส่เลขข้อซ้ำ","")))</f>
        <v/>
      </c>
    </row>
    <row r="21" spans="1:88" ht="28.8" x14ac:dyDescent="0.4">
      <c r="A21" s="73" t="s">
        <v>22</v>
      </c>
      <c r="B21" s="16"/>
      <c r="C21" s="16"/>
      <c r="D21" s="16"/>
      <c r="E21" s="16"/>
      <c r="F21" s="16"/>
      <c r="G21" s="16"/>
      <c r="H21" s="11"/>
      <c r="I21" s="12"/>
      <c r="J21" s="13"/>
      <c r="K21" s="14" t="str">
        <f>IF(AND(G3&lt;&gt;1,G3&lt;&gt;2),"",IF(OR(CG21="Error",CI21&lt;&gt;""),"Error",IF(AND(B21=0,CH21=1),0,IF(CH21="","",LOOKUP(CH21,{0,1,2,3,5,6},{0,1,2,3,4,5})))))</f>
        <v/>
      </c>
      <c r="L21" s="5" t="str">
        <f>IF(CI21&lt;&gt;"",CI21,IF(CG21="Error","ใส่เลขผิด",""))</f>
        <v/>
      </c>
      <c r="M21" s="6"/>
      <c r="N21" s="6"/>
      <c r="O21" s="15"/>
      <c r="P21" s="74"/>
      <c r="Q21" s="67"/>
      <c r="R21" s="67"/>
      <c r="S21" s="67"/>
      <c r="T21" s="67"/>
      <c r="U21" s="68"/>
      <c r="V21" s="69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1"/>
      <c r="BJ21" s="71"/>
      <c r="CA21" s="75" t="str">
        <f>IF(AND(B21="",C21="",D21="",E21="",F21="",G21=""),"",IF(AND(B21="",C21&lt;&gt;""),"space",IF(AND(C21&lt;&gt;"",B21&gt;C21),"ascending",IF(OR(B21="",B21=0,B21=1,B21=2,B21=3,B21=4,B21=5,B21=6),"","Error"))))</f>
        <v/>
      </c>
      <c r="CB21" s="75" t="str">
        <f>IF(AND(C21&lt;&gt;"",B21=C21),"ใส่เลขข้อซ้ำ",IF(AND(C21="",D21&lt;&gt;""),"space",IF(AND(D21&lt;&gt;"",C21&gt;D21),"ascending",IF(OR(C21="",C21=2,C21=3,C21=4,C21=5,C21=6),"","Error"))))</f>
        <v/>
      </c>
      <c r="CC21" s="75" t="str">
        <f>IF(AND(D21&lt;&gt;"",OR(B21=D21,C21=D21)),"ใส่เลขข้อซ้ำ",IF(AND(D21="",E21&lt;&gt;""),"space",IF(AND(E21&lt;&gt;"",D21&gt;E21),"ascending",IF(OR(D21="",D21=3,D21=4,D21=5,D21=6),"","Error"))))</f>
        <v/>
      </c>
      <c r="CD21" s="75" t="str">
        <f>IF(AND(E21&lt;&gt;"",OR(B21=E21,C21=E21,D21=E21)),"ใส่เลขข้อซ้ำ",IF(AND(E21="",F21&lt;&gt;""),"space",IF(AND(F21&lt;&gt;"",E21&gt;F21),"ascending",IF(OR(E21="",E21=4,E21=5,E21=6),"","Error"))))</f>
        <v/>
      </c>
      <c r="CE21" s="75" t="str">
        <f>IF(AND(F21&lt;&gt;"",OR(B21=F21,C21=F21,D21=F21,E21=F21)),"ใส่เลขข้อซ้ำ",IF(AND(F21="",G21&lt;&gt;""),"space",IF(AND(G21&lt;&gt;"",F21&gt;G21),"ascending",IF(OR(F21="",F21=5,F21=6),"","Error"))))</f>
        <v/>
      </c>
      <c r="CF21" s="76" t="str">
        <f>IF(AND(G21&lt;&gt;"",OR(B21=G21,C21=G21,D21=G21,E21=G21,F21=G21)),"ใส่เลขข้อซ้ำ",IF(OR(G21="",G21=6),"","Error"))</f>
        <v/>
      </c>
      <c r="CG21" s="77" t="str">
        <f>IF(COUNTIF(CA21:CF21,"Error")&gt;0,"Error","")</f>
        <v/>
      </c>
      <c r="CH21" s="78" t="str">
        <f>IF(COUNT(B21:G21)=0,"",COUNT(B21:G21))</f>
        <v/>
      </c>
      <c r="CI21" s="79" t="str">
        <f>IF(COUNTIF(CA21:CE21,"space")&gt;0,"ให้ใส่เลขข้อโดยไม่ข้ามช่องว่าง",IF(COUNTIF(CA21:CE21,"ascending")&gt;0,"ให้เรียงเลขข้อจากน้อยไปมาก",IF(COUNTIF(CB21:CF21,"ใส่เลขข้อซ้ำ")&gt;0,"ใส่เลขข้อซ้ำ","")))</f>
        <v/>
      </c>
    </row>
    <row r="22" spans="1:88" ht="28.5" customHeight="1" x14ac:dyDescent="0.4">
      <c r="A22" s="73" t="s">
        <v>23</v>
      </c>
      <c r="B22" s="17"/>
      <c r="C22" s="17"/>
      <c r="D22" s="17"/>
      <c r="E22" s="17"/>
      <c r="F22" s="17"/>
      <c r="G22" s="17"/>
      <c r="H22" s="11"/>
      <c r="I22" s="12"/>
      <c r="J22" s="13"/>
      <c r="K22" s="14" t="str">
        <f>IF(AND(G3&lt;&gt;1,G3&lt;&gt;2),"",IF(OR(CG22="Error",CI22&lt;&gt;""),"Error",IF(AND(B22=0,CH22=1),0,IF(CH22="","",LOOKUP(CH22,{0,1,2,3,5,6},{0,1,2,3,4,5})))))</f>
        <v/>
      </c>
      <c r="L22" s="5" t="str">
        <f>IF(CI22&lt;&gt;"",CI22,IF(CG22="Error","ใส่เลขผิด",""))</f>
        <v/>
      </c>
      <c r="M22" s="6"/>
      <c r="N22" s="6"/>
      <c r="O22" s="15"/>
      <c r="P22" s="74"/>
      <c r="Q22" s="67"/>
      <c r="R22" s="67"/>
      <c r="S22" s="67"/>
      <c r="T22" s="67"/>
      <c r="U22" s="68"/>
      <c r="V22" s="69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1"/>
      <c r="BJ22" s="71"/>
      <c r="CA22" s="75" t="str">
        <f>IF(AND(B22="",C22="",D22="",E22="",F22="",G22=""),"",IF(AND(B22="",C22&lt;&gt;""),"space",IF(AND(C22&lt;&gt;"",B22&gt;C22),"ascending",IF(OR(B22="",B22=0,B22=1,B22=2,B22=3,B22=4,B22=5,B22=6),"","Error"))))</f>
        <v/>
      </c>
      <c r="CB22" s="75" t="str">
        <f>IF(AND(C22&lt;&gt;"",B22=C22),"ใส่เลขข้อซ้ำ",IF(AND(C22="",D22&lt;&gt;""),"space",IF(AND(D22&lt;&gt;"",C22&gt;D22),"ascending",IF(OR(C22="",C22=2,C22=3,C22=4,C22=5,C22=6),"","Error"))))</f>
        <v/>
      </c>
      <c r="CC22" s="75" t="str">
        <f>IF(AND(D22&lt;&gt;"",OR(B22=D22,C22=D22)),"ใส่เลขข้อซ้ำ",IF(AND(D22="",E22&lt;&gt;""),"space",IF(AND(E22&lt;&gt;"",D22&gt;E22),"ascending",IF(OR(D22="",D22=3,D22=4,D22=5,D22=6),"","Error"))))</f>
        <v/>
      </c>
      <c r="CD22" s="75" t="str">
        <f>IF(AND(E22&lt;&gt;"",OR(B22=E22,C22=E22,D22=E22)),"ใส่เลขข้อซ้ำ",IF(AND(E22="",F22&lt;&gt;""),"space",IF(AND(F22&lt;&gt;"",E22&gt;F22),"ascending",IF(OR(E22="",E22=4,E22=5,E22=6),"","Error"))))</f>
        <v/>
      </c>
      <c r="CE22" s="75" t="str">
        <f>IF(AND(F22&lt;&gt;"",OR(B22=F22,C22=F22,D22=F22,E22=F22)),"ใส่เลขข้อซ้ำ",IF(AND(F22="",G22&lt;&gt;""),"space",IF(AND(G22&lt;&gt;"",F22&gt;G22),"ascending",IF(OR(F22="",F22=5,F22=6),"","Error"))))</f>
        <v/>
      </c>
      <c r="CF22" s="76" t="str">
        <f>IF(AND(G22&lt;&gt;"",OR(B22=G22,C22=G22,D22=G22,E22=G22,F22=G22)),"ใส่เลขข้อซ้ำ",IF(OR(G22="",G22=6),"","Error"))</f>
        <v/>
      </c>
      <c r="CG22" s="77" t="str">
        <f>IF(COUNTIF(CA22:CF22,"Error")&gt;0,"Error","")</f>
        <v/>
      </c>
      <c r="CH22" s="78" t="str">
        <f>IF(COUNT(B22:G22)=0,"",COUNT(B22:G22))</f>
        <v/>
      </c>
      <c r="CI22" s="79" t="str">
        <f>IF(COUNTIF(CA22:CE22,"space")&gt;0,"ให้ใส่เลขข้อโดยไม่ข้ามช่องว่าง",IF(COUNTIF(CA22:CE22,"ascending")&gt;0,"ให้เรียงเลขข้อจากน้อยไปมาก",IF(COUNTIF(CB22:CF22,"ใส่เลขข้อซ้ำ")&gt;0,"ใส่เลขข้อซ้ำ","")))</f>
        <v/>
      </c>
    </row>
    <row r="23" spans="1:88" ht="28.5" customHeight="1" x14ac:dyDescent="0.4">
      <c r="A23" s="137" t="s">
        <v>24</v>
      </c>
      <c r="B23" s="140" t="s">
        <v>25</v>
      </c>
      <c r="C23" s="140"/>
      <c r="D23" s="140"/>
      <c r="E23" s="140"/>
      <c r="F23" s="141"/>
      <c r="G23" s="142"/>
      <c r="H23" s="143"/>
      <c r="I23" s="144"/>
      <c r="J23" s="145"/>
      <c r="K23" s="152" t="str">
        <f>IF(AND(G3&lt;&gt;1,G3&lt;&gt;2),"",IF(AND(H23="",H24="",H25=""),"",IF(OR(L23&lt;&gt;"",L24&lt;&gt;"",L25&lt;&gt;""),"Error",IF(G3=1,ROUND(SUM(CA23:CA25)/COUNT(CA23:CA25),2),IF(G3=2,ROUND(SUM(CB23:CB25)/COUNT(CB23:CB25),2),"")))))</f>
        <v/>
      </c>
      <c r="L23" s="18" t="str">
        <f>IF(AND(SUM(H11:H13)=0,F23="",H23=""),"",IF(F23&lt;0,"จำนวนอาจารย์ประจำคณะและนักวิจัยทั้งหมด ต้องไม่ติดลบ",IF(H23&lt;0,"จำนวนเงินสนับสนุนงานวิจัยหรืองานสร้างสรรค์ ต้องไม่ติดลบ",IF(AND(SUM(H11:H13)&lt;&gt;"",F23=""),"มีอาจารย์ประจำคณะและนักวิจัยในกลุ่มสาขาวิทย์และเทคโนโลยี",IF(AND(SUM(H11:H13)="",F23&lt;&gt;""),"ไม่มีอาจารย์ประจำคณะและนักวิจัยในกลุ่มสาขาวิทย์และเทคโนโลยี",IF(AND(SUM(H11:H13)&lt;&gt;0,F23&lt;SUM(H11:H13)),"จำนวนอาจารย์ประจำคณะและนักวิจัยที่ปฏิบัติงานจริงในกลุ่มสาขาวิทย์และเทคโนโลยี น้อยกว่าของตัวบ่งชี้ที่ 1.4",IF(AND(SUM(H11:H19)&gt;0,SUM(F23:F25)&lt;SUM(H11:H19)),"จำนวนอาจารย์ประจำและนักวิจัยทั้งหมด ต้องไม่น้อยกว่าอาจารย์ประจำในตัวบ่งชี้ที่ 1.4","")))))))</f>
        <v/>
      </c>
      <c r="CA23" s="19" t="str">
        <f>IF(OR(F23="",H23=""),"",IF(AND(G$3=1,F23&lt;&gt;"",H23&lt;&gt;""),IF(ROUND(H23/F23*5/60000,2)&gt;5,5,ROUND(H23/F23*5/60000,2)),""))</f>
        <v/>
      </c>
      <c r="CB23" s="20" t="str">
        <f>IF(OR(F23="",H23=""),"",IF(AND(G$3=2,F23&lt;&gt;"",H23&lt;&gt;""),IF(ROUND(H23/F23*5/220000,2)&gt;5,5,ROUND(H23/F23*5/220000,2)),""))</f>
        <v/>
      </c>
    </row>
    <row r="24" spans="1:88" ht="28.5" customHeight="1" x14ac:dyDescent="0.4">
      <c r="A24" s="138"/>
      <c r="B24" s="161" t="s">
        <v>26</v>
      </c>
      <c r="C24" s="162"/>
      <c r="D24" s="162"/>
      <c r="E24" s="162"/>
      <c r="F24" s="141"/>
      <c r="G24" s="142"/>
      <c r="H24" s="143"/>
      <c r="I24" s="144"/>
      <c r="J24" s="145"/>
      <c r="K24" s="153"/>
      <c r="L24" s="18" t="str">
        <f>IF(AND(SUM(H14:H16)=0,F24="",H24=""),"",IF(F24&lt;0,"จำนวนอาจารย์ประจำคณะและนักวิจัยทั้งหมด ต้องไม่ติดลบ",IF(H24&lt;0,"จำนวนเงินสนับสนุนงานวิจัยหรืองานสร้างสรรค์ ต้องไม่ติดลบ",IF(AND(SUM(H14:H16)&lt;&gt;"",F24=""),"มีอาจารย์ประจำคณะและนักวิจัยในกลุ่มสาขาวิทย์สุขภาพ",IF(AND(SUM(H14:H16)="",F24&lt;&gt;""),"ไม่มีอาจารย์ประจำคณะและนักวิจัยในกลุ่มสาขาวิทย์สุขภาพ",IF(AND(SUM(H14:H16)&lt;&gt;0,F24&lt;SUM(H14:H16)),"จำนวนอาจารย์ประจำคณะและนักวิจัยที่ปฏิบัติงานจริงในกลุ่มสาขาวิทย์สุขภาพ น้อยกว่าของตัวบ่งชี้ที่ 1.4",IF(AND(SUM(H11:H19)&gt;0,SUM(F23:F25)&lt;SUM(H11:H19)),"จำนวนอาจารย์ประจำและนักวิจัยทั้งหมด ต้องไม่น้อยกว่าอาจารย์ประจำในตัวบ่งชี้ที่ 1.4","")))))))</f>
        <v/>
      </c>
      <c r="CA24" s="19" t="str">
        <f>IF(OR(F24="",H24=""),"",IF(AND(G$3=1,F24&lt;&gt;"",H24&lt;&gt;""),IF(ROUND(H24/F24*5/50000,2)&gt;5,5,ROUND(H24/F24*5/50000,2)),""))</f>
        <v/>
      </c>
      <c r="CB24" s="20" t="str">
        <f>IF(OR(F24="",H24=""),"",IF(AND(G$3=2,F24&lt;&gt;"",H24&lt;&gt;""),IF(ROUND(H24/F24*5/180000,2)&gt;5,5,ROUND(H24/F24*5/180000,2)),""))</f>
        <v/>
      </c>
    </row>
    <row r="25" spans="1:88" ht="28.5" customHeight="1" x14ac:dyDescent="0.4">
      <c r="A25" s="139"/>
      <c r="B25" s="146" t="s">
        <v>27</v>
      </c>
      <c r="C25" s="147"/>
      <c r="D25" s="147"/>
      <c r="E25" s="147"/>
      <c r="F25" s="141"/>
      <c r="G25" s="142"/>
      <c r="H25" s="143"/>
      <c r="I25" s="144"/>
      <c r="J25" s="145"/>
      <c r="K25" s="154"/>
      <c r="L25" s="18" t="str">
        <f>IF(AND(SUM(H17:H19)=0,F25="",H25=""),"",IF(F25&lt;0,"จำนวนอาจารย์ประจำคณะและนักวิจัยทั้งหมด ต้องไม่ติดลบ",IF(H25&lt;0,"จำนวนเงินสนับสนุนงานวิจัยหรืองานสร้างสรรค์ ต้องไม่ติดลบ",IF(AND(SUM(H17:H19)&lt;&gt;0,F25=""),"มีอาจารย์ประจำคณะและนักวิจัยในกลุ่มสาขามนุษย์สังคม",IF(AND(SUM(H17:H19)=0,F25&lt;&gt;""),"ไม่มีอาจารย์ประจำคณะและนักวิจัยในกลุ่มสาขามนุษย์สังคม",IF(AND(SUM(H17:H19)&lt;&gt;0,F25&lt;SUM(H17:H19)),"จำนวนอาจารย์ประจำคณะและนักวิจัยที่ปฏิบัติงานจริงในกลุ่มสาขามนุษย์สังคม น้อยกว่าของตัวบ่งชี้ที่ 1.4",IF(AND(SUM(H11:H19)&gt;0,SUM(F23:F25)&lt;SUM(H11:H19)),"จำนวนอาจารย์ประจำและนักวิจัยทั้งหมด ต้องไม่น้อยกว่าอาจารย์ประจำในตัวบ่งชี้ที่ 1.4","")))))))</f>
        <v/>
      </c>
      <c r="CA25" s="19" t="str">
        <f>IF(OR(F25="",H25=""),"",IF(AND(G$3=1,F25&lt;&gt;"",H25&lt;&gt;""),IF(ROUND(H25/F25*5/25000,2)&gt;5,5,ROUND(H25/F25*5/25000,2)),""))</f>
        <v/>
      </c>
      <c r="CB25" s="20" t="str">
        <f>IF(OR(F25="",H25=""),"",IF(AND(G$3=2,F25&lt;&gt;"",H25&lt;&gt;""),IF(ROUND(H25/F25*5/100000,2)&gt;5,5,ROUND(H25/F25*5/100000,2)),""))</f>
        <v/>
      </c>
    </row>
    <row r="26" spans="1:88" ht="26.25" customHeight="1" x14ac:dyDescent="0.4">
      <c r="A26" s="163" t="s">
        <v>28</v>
      </c>
      <c r="B26" s="140" t="s">
        <v>25</v>
      </c>
      <c r="C26" s="140"/>
      <c r="D26" s="140"/>
      <c r="E26" s="140"/>
      <c r="F26" s="166"/>
      <c r="G26" s="167"/>
      <c r="H26" s="141"/>
      <c r="I26" s="142"/>
      <c r="J26" s="21" t="str">
        <f>IF(OR(F26="",H26=""),"",IF(OR(F26&lt;0,H26&lt;=0),"Error",IF(G3=1,IF(ROUND(F26/H26*100*5/30,2)&gt;5,5,ROUND(F26/H26*100*5/30,2)),IF(G3=2,IF(ROUND(F26/H26*100*5/60,2)&gt;5,5,ROUND(F26/H26*100*5/60,2))))))</f>
        <v/>
      </c>
      <c r="K26" s="152" t="str">
        <f>IF(AND(G3&lt;&gt;1,G3&lt;&gt;2),"",IF(AND(J26="",J27="",J28=""),"",IF(OR(L26&lt;&gt;"",L27&lt;&gt;"",L28&lt;&gt;""),"Error",ROUND(SUM(J26:J28)/COUNT(J26:J28),2))))</f>
        <v/>
      </c>
      <c r="L26" s="22" t="str">
        <f>IF(AND(SUM(H11:H13)=0,F23="",F26="",H26=""),"",IF(F26&lt;0,"ผลรวมถ่วงน้ำหนักของผลงานทางวิชาการ ต้องไม่ติดลบ",IF(H26&lt;0,"จำนวนอาจารย์ประจำคณะและนักวิจัยทั้งหมด ต้องไม่ติดลบ",IF(AND(SUM(H11:H13)&lt;&gt;"",H26=""),"มีอาจารย์ประจำคณะและนักวิจัยในกลุ่มสาขาวิทย์และเทคโนโลยี",IF(AND(SUM(H11:H13)="",H26&lt;&gt;""),"ไม่มีอาจารย์ประจำคณะและนักวิจัยในกลุ่มสาขาวิทย์และเทคโนโลยี",IF(AND(F23&lt;&gt;"",H26&lt;SUM(SUM(F23-SUM(H11:H13)),SUM(H11:H13))),"กลุ่มสาขาวิทย์และเทคโนโลยีมีจำนวนอาจารย์ประจำคณะและนักวิจัย น้อยกว่าผลรวมในคณะ",IF(AND(D9&lt;&gt;"",SUM(H26:H28)=SUM(SUM(F23:F25)-SUM(H11:H19)+D9)),"","รวมจำนวนอาจารย์ประจำคณะและนักวิจัยทั้งหมด ต้องเท่ากับอาจารย์ในตัวบ่งชี้ที่ 1.2 รวมกับนักวิจัย")))))))</f>
        <v/>
      </c>
    </row>
    <row r="27" spans="1:88" ht="26.25" customHeight="1" x14ac:dyDescent="0.4">
      <c r="A27" s="164"/>
      <c r="B27" s="161" t="s">
        <v>26</v>
      </c>
      <c r="C27" s="162"/>
      <c r="D27" s="162"/>
      <c r="E27" s="162"/>
      <c r="F27" s="166"/>
      <c r="G27" s="167"/>
      <c r="H27" s="141"/>
      <c r="I27" s="142"/>
      <c r="J27" s="21" t="str">
        <f>IF(OR(F27="",H27=""),"",IF(OR(F27&lt;0,H27&lt;=0),"Error",IF(G3=1,IF(ROUND(F27/H27*100*5/30,2)&gt;5,5,ROUND(F27/H27*100*5/30,2)),IF(G3=2,IF(ROUND(F27/H27*100*5/60,2)&gt;5,5,ROUND(F27/H27*100*5/60,2))))))</f>
        <v/>
      </c>
      <c r="K27" s="153"/>
      <c r="L27" s="22" t="str">
        <f>IF(AND(SUM(H14:H16)=0,F24="",F27="",H27=""),"",IF(F27&lt;0,"ผลรวมถ่วงน้ำหนักของผลงานทางวิชาการ ต้องไม่ติดลบ",IF(H27&lt;0,"จำนวนอาจารย์ประจำคณะและนักวิจัยทั้งหมด ต้องไม่ติดลบ",IF(AND(SUM(H14:H15)&lt;&gt;"",H27=""),"มีอาจารย์ประจำคณะและนักวิจัยในกลุ่มสาขาวิทย์สุขภาพ",IF(AND(SUM(H14:H15)="",H27&lt;&gt;""),"ไม่มีอาจารย์ประจำคณะและนักวิจัยในกลุ่มสาขาวิทย์สุขภาพ",IF(AND(F24&lt;&gt;"",H27&lt;SUM(SUM(F24-SUM(H14:H16)),SUM(H14:H16))),"กลุ่มสาขาวิทย์สุขภาพมีจำนวนอาจารย์ประจำคณะและนักวิจัย น้อยกว่าผลรวมในคณะ",IF(AND(D9&lt;&gt;"",SUM(H26:H28)=SUM(SUM(F23:F25)-SUM(H11:H19)+D9)),"","รวมจำนวนอาจารย์ประจำคณะและนักวิจัยทั้งหมด ต้องเท่ากับอาจารย์ในตัวบ่งชี้ที่ 1.2 รวมกับนักวิจัย")))))))</f>
        <v/>
      </c>
    </row>
    <row r="28" spans="1:88" ht="26.25" customHeight="1" x14ac:dyDescent="0.4">
      <c r="A28" s="165"/>
      <c r="B28" s="146" t="s">
        <v>27</v>
      </c>
      <c r="C28" s="147"/>
      <c r="D28" s="147"/>
      <c r="E28" s="147"/>
      <c r="F28" s="166"/>
      <c r="G28" s="167"/>
      <c r="H28" s="141"/>
      <c r="I28" s="142"/>
      <c r="J28" s="21" t="str">
        <f>IF(OR(F28="",H28=""),"",IF(OR(F28&lt;0,H28&lt;=0),"Error",IF(G3=1,IF(ROUND(F28/H28*100*5/20,2)&gt;5,5,ROUND(F28/H28*100*5/20,2)),IF(G3=2,IF(ROUND(F28/H28*100*5/40,2)&gt;5,5,ROUND(F28/H28*100*5/40,2))))))</f>
        <v/>
      </c>
      <c r="K28" s="154"/>
      <c r="L28" s="22" t="str">
        <f>IF(AND(SUM(H17:H19)=0,F25="",F28="",H28=""),"",IF(F28&lt;0,"ผลรวมถ่วงน้ำหนักของผลงานทางวิชาการ ต้องไม่ติดลบ",IF(H28&lt;0,"จำนวนอาจารย์ประจำคณะและนักวิจัยทั้งหมด ต้องไม่ติดลบ",IF(AND(SUM(H17:H19)&lt;&gt;0,H28=""),"มีอาจารย์ประจำคณะและนักวิจัยในกลุ่มสาขามนุษย์สังคม",IF(AND(SUM(H17:H19)=0,H28&lt;&gt;""),"ไม่มีอาจารย์ประจำคณะและนักวิจัยในกลุ่มสาขามนุษย์สังคม",IF(AND(F25&lt;&gt;"",H28&lt;SUM(SUM(F25-SUM(H17:H19)),SUM(H17:H19))),"กลุ่มมนุษย์สังคมมีจำนวนอาจารย์ประจำคณะและนักวิจัย น้อยกว่าผลรวมในคณะ",IF(AND(D9&lt;&gt;"",SUM(H26:H28)=SUM(SUM(F23:F25)-SUM(H11:H19)+D9)),"","รวมจำนวนอาจารย์ประจำคณะและนักวิจัยทั้งหมด ต้องเท่ากับอาจารย์ในตัวบ่งชี้ที่ 1.2 รวมกับนักวิจัย")))))))</f>
        <v/>
      </c>
    </row>
    <row r="29" spans="1:88" ht="28.5" customHeight="1" x14ac:dyDescent="0.4">
      <c r="A29" s="80" t="s">
        <v>29</v>
      </c>
      <c r="B29" s="23"/>
      <c r="C29" s="23"/>
      <c r="D29" s="23"/>
      <c r="E29" s="23"/>
      <c r="F29" s="23"/>
      <c r="G29" s="23"/>
      <c r="H29" s="11"/>
      <c r="I29" s="12"/>
      <c r="J29" s="13"/>
      <c r="K29" s="14" t="str">
        <f>IF(AND(G3&lt;&gt;1,G3&lt;&gt;2),"",IF(OR(CG29="Error",CI29&lt;&gt;""),"Error",IF(AND(B29=0,CH29=1),0,IF(CH29="","",LOOKUP(CH29,{0,1,2,3,5,6},{0,1,2,3,4,5})))))</f>
        <v/>
      </c>
      <c r="L29" s="5" t="str">
        <f>IF(CI29&lt;&gt;"",CI29,IF(CG29="Error","ใส่เลขผิด",""))</f>
        <v/>
      </c>
      <c r="M29" s="6"/>
      <c r="N29" s="6"/>
      <c r="O29" s="15"/>
      <c r="P29" s="74"/>
      <c r="Q29" s="67"/>
      <c r="R29" s="67"/>
      <c r="S29" s="67"/>
      <c r="T29" s="67"/>
      <c r="U29" s="68"/>
      <c r="V29" s="69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1"/>
      <c r="BJ29" s="71"/>
      <c r="CA29" s="75" t="str">
        <f>IF(AND(B29="",C29="",D29="",E29="",F29="",G29=""),"",IF(AND(B29="",C29&lt;&gt;""),"space",IF(AND(C29&lt;&gt;"",B29&gt;C29),"ascending",IF(OR(B29="",B29=0,B29=1,B29=2,B29=3,B29=4,B29=5,B29=6),"","Error"))))</f>
        <v/>
      </c>
      <c r="CB29" s="75" t="str">
        <f>IF(AND(C29&lt;&gt;"",B29=C29),"ใส่เลขข้อซ้ำ",IF(AND(C29="",D29&lt;&gt;""),"space",IF(AND(D29&lt;&gt;"",C29&gt;D29),"ascending",IF(OR(C29="",C29=2,C29=3,C29=4,C29=5,C29=6),"","Error"))))</f>
        <v/>
      </c>
      <c r="CC29" s="75" t="str">
        <f>IF(AND(D29&lt;&gt;"",OR(B29=D29,C29=D29)),"ใส่เลขข้อซ้ำ",IF(AND(D29="",E29&lt;&gt;""),"space",IF(AND(E29&lt;&gt;"",D29&gt;E29),"ascending",IF(OR(D29="",D29=3,D29=4,D29=5,D29=6),"","Error"))))</f>
        <v/>
      </c>
      <c r="CD29" s="75" t="str">
        <f>IF(AND(E29&lt;&gt;"",OR(B29=E29,C29=E29,D29=E29)),"ใส่เลขข้อซ้ำ",IF(AND(E29="",F29&lt;&gt;""),"space",IF(AND(F29&lt;&gt;"",E29&gt;F29),"ascending",IF(OR(E29="",E29=4,E29=5,E29=6),"","Error"))))</f>
        <v/>
      </c>
      <c r="CE29" s="75" t="str">
        <f>IF(AND(F29&lt;&gt;"",OR(B29=F29,C29=F29,D29=F29,E29=F29)),"ใส่เลขข้อซ้ำ",IF(AND(F29="",G29&lt;&gt;""),"space",IF(AND(G29&lt;&gt;"",F29&gt;G29),"ascending",IF(OR(F29="",F29=5,F29=6),"","Error"))))</f>
        <v/>
      </c>
      <c r="CF29" s="76" t="str">
        <f>IF(AND(G29&lt;&gt;"",OR(B29=G29,C29=G29,D29=G29,E29=G29,F29=G29)),"ใส่เลขข้อซ้ำ",IF(OR(G29="",G29=6),"","Error"))</f>
        <v/>
      </c>
      <c r="CG29" s="77" t="str">
        <f>IF(COUNTIF(CA29:CF29,"Error")&gt;0,"Error","")</f>
        <v/>
      </c>
      <c r="CH29" s="78" t="str">
        <f>IF(COUNT(B29:G29)=0,"",COUNT(B29:G29))</f>
        <v/>
      </c>
      <c r="CI29" s="79" t="str">
        <f>IF(COUNTIF(CA29:CE29,"space")&gt;0,"ให้ใส่เลขข้อโดยไม่ข้ามช่องว่าง",IF(COUNTIF(CA29:CE29,"ascending")&gt;0,"ให้เรียงเลขข้อจากน้อยไปมาก",IF(COUNTIF(CB29:CF29,"ใส่เลขข้อซ้ำ")&gt;0,"ใส่เลขข้อซ้ำ","")))</f>
        <v/>
      </c>
    </row>
    <row r="30" spans="1:88" ht="28.5" customHeight="1" x14ac:dyDescent="0.4">
      <c r="A30" s="80" t="s">
        <v>30</v>
      </c>
      <c r="B30" s="24"/>
      <c r="C30" s="24"/>
      <c r="D30" s="24"/>
      <c r="E30" s="24"/>
      <c r="F30" s="24"/>
      <c r="G30" s="24"/>
      <c r="H30" s="24"/>
      <c r="I30" s="12"/>
      <c r="J30" s="13"/>
      <c r="K30" s="14" t="str">
        <f>IF(AND(G3&lt;&gt;1,G3&lt;&gt;2),"",IF(OR(CH30="Error",CJ30&lt;&gt;""),"Error",IF(AND(B30=0,CI30=1),0,IF(CI30="","",LOOKUP(CI30,{0,1,2,3,5,6},{0,1,2,3,4,5})))))</f>
        <v/>
      </c>
      <c r="L30" s="5" t="str">
        <f>IF(CJ30&lt;&gt;"",CJ30,IF(CH30="Error","ใส่เลขผิด",""))</f>
        <v/>
      </c>
      <c r="M30" s="6"/>
      <c r="N30" s="6"/>
      <c r="O30" s="15"/>
      <c r="P30" s="74"/>
      <c r="Q30" s="67"/>
      <c r="R30" s="67"/>
      <c r="S30" s="67"/>
      <c r="T30" s="67"/>
      <c r="U30" s="68"/>
      <c r="V30" s="69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1"/>
      <c r="BJ30" s="71"/>
      <c r="CA30" s="75" t="str">
        <f>IF(AND(B30="",C30="",D30="",E30="",F30="",G30="",H30=""),"",IF(AND(B30="",C30&lt;&gt;""),"space",IF(AND(C30&lt;&gt;"",B30&gt;C30),"ascending",IF(OR(B30="",B30=0,B30=1,B30=2,B30=3,B30=4,B30=5,B30=6,B30=7),"","Error"))))</f>
        <v/>
      </c>
      <c r="CB30" s="75" t="str">
        <f>IF(AND(C30&lt;&gt;"",B30=C30),"ใส่เลขข้อซ้ำ",IF(AND(C30="",D30&lt;&gt;""),"space",IF(AND(D30&lt;&gt;"",C30&gt;D30),"ascending",IF(OR(C30="",C30=2,C30=3,C30=4,C30=5,C30=6,C30=7),"","Error"))))</f>
        <v/>
      </c>
      <c r="CC30" s="75" t="str">
        <f>IF(AND(D30&lt;&gt;"",OR(B30=D30,C30=D30)),"ใส่เลขข้อซ้ำ",IF(AND(D30="",E30&lt;&gt;""),"space",IF(AND(E30&lt;&gt;"",D30&gt;E30),"ascending",IF(OR(D30="",D30=3,D30=4,D30=5,D30=6,D30=7),"","Error"))))</f>
        <v/>
      </c>
      <c r="CD30" s="75" t="str">
        <f>IF(AND(E30&lt;&gt;"",OR(B30=E30,C30=E30,D30=E30)),"ใส่เลขข้อซ้ำ",IF(AND(E30="",F30&lt;&gt;""),"space",IF(AND(F30&lt;&gt;"",E30&gt;F30),"ascending",IF(OR(E30="",E30=4,E30=5,E30=6,E30=7),"","Error"))))</f>
        <v/>
      </c>
      <c r="CE30" s="75" t="str">
        <f>IF(AND(F30&lt;&gt;"",OR(B30=F30,C30=F30,D30=F30,E30=F30)),"ใส่เลขข้อซ้ำ",IF(AND(F30="",G30&lt;&gt;""),"space",IF(AND(G30&lt;&gt;"",F30&gt;G30),"ascending",IF(OR(F30="",F30=5,F30=6,F30=7),"","Error"))))</f>
        <v/>
      </c>
      <c r="CF30" s="76" t="str">
        <f>IF(AND(G30&lt;&gt;"",OR(B30=G30,C30=G30,D30=G30,E30=G30,F30=G30)),"ใส่เลขข้อซ้ำ",IF(AND(G30="",H30&lt;&gt;""),"space",IF(AND(H30&lt;&gt;"",G30&gt;H30),"ascending",IF(OR(G30="",G30=6,G30=7),"","Error"))))</f>
        <v/>
      </c>
      <c r="CG30" s="76" t="str">
        <f>IF(AND(H30&lt;&gt;"",OR(B30=H30,C30=H30,D30=H30,E30=H30,F30=H30,G30=H30)),"ใส่เลขข้อซ้ำ",IF(OR(H30="",H30=7),"","Error"))</f>
        <v/>
      </c>
      <c r="CH30" s="77" t="str">
        <f>IF(COUNTIF(CA30:CG30,"Error")&gt;0,"Error","")</f>
        <v/>
      </c>
      <c r="CI30" s="78" t="str">
        <f>IF(COUNT(B30:H30)=0,"",COUNT(B30:H30))</f>
        <v/>
      </c>
      <c r="CJ30" s="79" t="str">
        <f>IF(COUNTIF(CA30:CF30,"space")&gt;0,"ให้ใส่เลขข้อโดยไม่ข้ามช่องว่าง",IF(COUNTIF(CA30:CF30,"ascending")&gt;0,"ให้เรียงเลขข้อจากน้อยไปมาก",IF(COUNTIF(CB30:CG30,"ใส่เลขข้อซ้ำ")&gt;0,"ใส่เลขข้อซ้ำ","")))</f>
        <v/>
      </c>
    </row>
    <row r="31" spans="1:88" ht="28.5" customHeight="1" x14ac:dyDescent="0.4">
      <c r="A31" s="81" t="s">
        <v>31</v>
      </c>
      <c r="B31" s="16"/>
      <c r="C31" s="16"/>
      <c r="D31" s="16"/>
      <c r="E31" s="16"/>
      <c r="F31" s="16"/>
      <c r="G31" s="16"/>
      <c r="H31" s="16"/>
      <c r="I31" s="12"/>
      <c r="J31" s="13"/>
      <c r="K31" s="14" t="str">
        <f>IF(AND(G3&lt;&gt;1,G3&lt;&gt;2),"",IF(OR(CH31="Error",CJ31&lt;&gt;""),"Error",IF(AND(B31=0,CI31=1),0,IF(CI31="","",LOOKUP(CI31,{0,1,2,3,5,7},{0,1,2,3,4,5})))))</f>
        <v/>
      </c>
      <c r="L31" s="5" t="str">
        <f>IF(CJ31&lt;&gt;"",CJ31,IF(CH31="Error","ใส่เลขผิด",""))</f>
        <v/>
      </c>
      <c r="M31" s="6"/>
      <c r="N31" s="6"/>
      <c r="O31" s="15"/>
      <c r="P31" s="74"/>
      <c r="Q31" s="67"/>
      <c r="R31" s="67"/>
      <c r="S31" s="67"/>
      <c r="T31" s="67"/>
      <c r="U31" s="68"/>
      <c r="V31" s="69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1"/>
      <c r="BJ31" s="71"/>
      <c r="CA31" s="75" t="str">
        <f>IF(AND(B31="",C31="",D31="",E31="",F31="",G31="",H31=""),"",IF(AND(B31="",C31&lt;&gt;""),"space",IF(AND(C31&lt;&gt;"",B31&gt;C31),"ascending",IF(OR(B31="",B31=0,B31=1,B31=2,B31=3,B31=4,B31=5,B31=6,B31=7),"","Error"))))</f>
        <v/>
      </c>
      <c r="CB31" s="75" t="str">
        <f>IF(AND(C31&lt;&gt;"",B31=C31),"ใส่เลขข้อซ้ำ",IF(AND(C31="",D31&lt;&gt;""),"space",IF(AND(D31&lt;&gt;"",C31&gt;D31),"ascending",IF(OR(C31="",C31=2,C31=3,C31=4,C31=5,C31=6,C31=7),"","Error"))))</f>
        <v/>
      </c>
      <c r="CC31" s="75" t="str">
        <f>IF(AND(D31&lt;&gt;"",OR(B31=D31,C31=D31)),"ใส่เลขข้อซ้ำ",IF(AND(D31="",E31&lt;&gt;""),"space",IF(AND(E31&lt;&gt;"",D31&gt;E31),"ascending",IF(OR(D31="",D31=3,D31=4,D31=5,D31=6,D31=7),"","Error"))))</f>
        <v/>
      </c>
      <c r="CD31" s="75" t="str">
        <f>IF(AND(E31&lt;&gt;"",OR(B31=E31,C31=E31,D31=E31)),"ใส่เลขข้อซ้ำ",IF(AND(E31="",F31&lt;&gt;""),"space",IF(AND(F31&lt;&gt;"",E31&gt;F31),"ascending",IF(OR(E31="",E31=4,E31=5,E31=6,E31=7),"","Error"))))</f>
        <v/>
      </c>
      <c r="CE31" s="75" t="str">
        <f>IF(AND(F31&lt;&gt;"",OR(B31=F31,C31=F31,D31=F31,E31=F31)),"ใส่เลขข้อซ้ำ",IF(AND(F31="",G31&lt;&gt;""),"space",IF(AND(G31&lt;&gt;"",F31&gt;G31),"ascending",IF(OR(F31="",F31=5,F31=6,F31=7),"","Error"))))</f>
        <v/>
      </c>
      <c r="CF31" s="76" t="str">
        <f>IF(AND(G31&lt;&gt;"",OR(B31=G31,C31=G31,D31=G31,E31=G31,F31=G31)),"ใส่เลขข้อซ้ำ",IF(AND(G31="",H31&lt;&gt;""),"space",IF(AND(H31&lt;&gt;"",G31&gt;H31),"ascending",IF(OR(G31="",G31=6,G31=7),"","Error"))))</f>
        <v/>
      </c>
      <c r="CG31" s="76" t="str">
        <f>IF(AND(H31&lt;&gt;"",OR(B31=H31,C31=H31,D31=H31,E31=H31,F31=H31,G31=H31)),"ใส่เลขข้อซ้ำ",IF(OR(H31="",H31=7),"","Error"))</f>
        <v/>
      </c>
      <c r="CH31" s="77" t="str">
        <f>IF(COUNTIF(CA31:CG31,"Error")&gt;0,"Error","")</f>
        <v/>
      </c>
      <c r="CI31" s="78" t="str">
        <f>IF(COUNT(B31:H31)=0,"",COUNT(B31:H31))</f>
        <v/>
      </c>
      <c r="CJ31" s="79" t="str">
        <f>IF(COUNTIF(CA31:CF31,"space")&gt;0,"ให้ใส่เลขข้อโดยไม่ข้ามช่องว่าง",IF(COUNTIF(CA31:CF31,"ascending")&gt;0,"ให้เรียงเลขข้อจากน้อยไปมาก",IF(COUNTIF(CB31:CG31,"ใส่เลขข้อซ้ำ")&gt;0,"ใส่เลขข้อซ้ำ","")))</f>
        <v/>
      </c>
    </row>
    <row r="32" spans="1:88" ht="28.8" x14ac:dyDescent="0.4">
      <c r="A32" s="80" t="s">
        <v>32</v>
      </c>
      <c r="B32" s="17"/>
      <c r="C32" s="17"/>
      <c r="D32" s="17"/>
      <c r="E32" s="17"/>
      <c r="F32" s="17"/>
      <c r="G32" s="17"/>
      <c r="H32" s="11"/>
      <c r="I32" s="12"/>
      <c r="J32" s="13"/>
      <c r="K32" s="14" t="str">
        <f>IF(AND(G3&lt;&gt;1,G3&lt;&gt;2),"",IF(OR(CG32="Error",CI32&lt;&gt;""),"Error",IF(AND(B32=0,CH32=1),0,IF(CH32="","",LOOKUP(CH32,{0,1,2,3,5,6},{0,1,2,3,4,5})))))</f>
        <v/>
      </c>
      <c r="L32" s="5" t="str">
        <f>IF(CI32&lt;&gt;"",CI32,IF(CG32="Error","ใส่เลขผิด",""))</f>
        <v/>
      </c>
      <c r="M32" s="6"/>
      <c r="N32" s="6"/>
      <c r="O32" s="15"/>
      <c r="P32" s="74"/>
      <c r="Q32" s="67"/>
      <c r="R32" s="67"/>
      <c r="S32" s="67"/>
      <c r="T32" s="67"/>
      <c r="U32" s="68"/>
      <c r="V32" s="69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1"/>
      <c r="BJ32" s="71"/>
      <c r="CA32" s="75" t="str">
        <f>IF(AND(B32="",C32="",D32="",E32="",F32="",G32=""),"",IF(AND(B32="",C32&lt;&gt;""),"space",IF(AND(C32&lt;&gt;"",B32&gt;C32),"ascending",IF(OR(B32="",B32=0,B32=1,B32=2,B32=3,B32=4,B32=5,B32=6),"","Error"))))</f>
        <v/>
      </c>
      <c r="CB32" s="75" t="str">
        <f>IF(AND(C32&lt;&gt;"",B32=C32),"ใส่เลขข้อซ้ำ",IF(AND(C32="",D32&lt;&gt;""),"space",IF(AND(D32&lt;&gt;"",C32&gt;D32),"ascending",IF(OR(C32="",C32=2,C32=3,C32=4,C32=5,C32=6),"","Error"))))</f>
        <v/>
      </c>
      <c r="CC32" s="75" t="str">
        <f>IF(AND(D32&lt;&gt;"",OR(B32=D32,C32=D32)),"ใส่เลขข้อซ้ำ",IF(AND(D32="",E32&lt;&gt;""),"space",IF(AND(E32&lt;&gt;"",D32&gt;E32),"ascending",IF(OR(D32="",D32=3,D32=4,D32=5,D32=6),"","Error"))))</f>
        <v/>
      </c>
      <c r="CD32" s="75" t="str">
        <f>IF(AND(E32&lt;&gt;"",OR(B32=E32,C32=E32,D32=E32)),"ใส่เลขข้อซ้ำ",IF(AND(E32="",F32&lt;&gt;""),"space",IF(AND(F32&lt;&gt;"",E32&gt;F32),"ascending",IF(OR(E32="",E32=4,E32=5,E32=6),"","Error"))))</f>
        <v/>
      </c>
      <c r="CE32" s="75" t="str">
        <f>IF(AND(F32&lt;&gt;"",OR(B32=F32,C32=F32,D32=F32,E32=F32)),"ใส่เลขข้อซ้ำ",IF(AND(F32="",G32&lt;&gt;""),"space",IF(AND(G32&lt;&gt;"",F32&gt;G32),"ascending",IF(OR(F32="",F32=5,F32=6),"","Error"))))</f>
        <v/>
      </c>
      <c r="CF32" s="76" t="str">
        <f>IF(AND(G32&lt;&gt;"",OR(B32=G32,C32=G32,D32=G32,E32=G32,F32=G32)),"ใส่เลขข้อซ้ำ",IF(OR(G32="",G32=6),"","Error"))</f>
        <v/>
      </c>
      <c r="CG32" s="77" t="str">
        <f>IF(COUNTIF(CA32:CF32,"Error")&gt;0,"Error","")</f>
        <v/>
      </c>
      <c r="CH32" s="78" t="str">
        <f>IF(COUNT(B32:G32)=0,"",COUNT(B32:G32))</f>
        <v/>
      </c>
      <c r="CI32" s="79" t="str">
        <f>IF(COUNTIF(CA32:CE32,"space")&gt;0,"ให้ใส่เลขข้อโดยไม่ข้ามช่องว่าง",IF(COUNTIF(CA32:CE32,"ascending")&gt;0,"ให้เรียงเลขข้อจากน้อยไปมาก",IF(COUNTIF(CB32:CF32,"ใส่เลขข้อซ้ำ")&gt;0,"ใส่เลขข้อซ้ำ","")))</f>
        <v/>
      </c>
    </row>
    <row r="33" spans="1:12" ht="28.8" x14ac:dyDescent="0.4">
      <c r="A33" s="82"/>
      <c r="B33" s="156" t="s">
        <v>33</v>
      </c>
      <c r="C33" s="157"/>
      <c r="D33" s="157"/>
      <c r="E33" s="157"/>
      <c r="F33" s="157"/>
      <c r="G33" s="157"/>
      <c r="H33" s="157"/>
      <c r="I33" s="157"/>
      <c r="J33" s="157"/>
      <c r="K33" s="25" t="str">
        <f>IF(COUNTIF(K7:K32,"Error")&gt;0,"Error",IF(COUNT(K7:K32)=0,"",ROUND(SUM(K7:K32)/IF(COUNT(K7:K32)=0,1,COUNT(K7:K32)),2)))</f>
        <v/>
      </c>
      <c r="L33" s="18" t="str">
        <f>IF(J32="","",(IF(J32&lt;0,"ตะแนนต้องไม่ติดลบ",IF(J32&lt;&gt;ROUND(J32,0),"คะแนนต้องไม่เป็นทศนิยม",IF(J32&gt;5,"คะแนนต้องไม่มากกว่า 5","")))))</f>
        <v/>
      </c>
    </row>
    <row r="34" spans="1:12" ht="25.8" x14ac:dyDescent="0.5">
      <c r="A34" s="26" t="s">
        <v>34</v>
      </c>
      <c r="B34" s="158" t="str">
        <f>IF(AND(K33&gt;=4.51,K33&lt;=5),"การดำเนินงานระดับดีมาก",IF(AND(K33&gt;=3.51,K33&lt;4.51),"การดำเนินงานระดับดี",IF(AND(K33&gt;=2.51,K33&lt;3.51),"การดำเนินงานระดับพอใช้",IF(AND(K33&gt;=1.51,K33&lt;2.51),"การดำเนินงานต้องปรับปรุง",IF(K33&lt;1.51,"การดำเนินงานต้องปรับปรุงเร่งด่วน","")))))</f>
        <v/>
      </c>
      <c r="C34" s="159"/>
      <c r="D34" s="159"/>
      <c r="E34" s="159"/>
      <c r="F34" s="159"/>
      <c r="G34" s="159"/>
      <c r="H34" s="159"/>
      <c r="I34" s="159"/>
      <c r="J34" s="159"/>
      <c r="K34" s="160"/>
    </row>
    <row r="35" spans="1:12" ht="26.25" customHeight="1" x14ac:dyDescent="0.4"/>
    <row r="36" spans="1:12" ht="21" customHeight="1" x14ac:dyDescent="0.4"/>
  </sheetData>
  <sheetProtection algorithmName="SHA-512" hashValue="RRx1WWRXwQo/FTzMPeui7Yr1CfP0uXJRBRJdIjLesQiFHgExhQ6e0JEhM2+N7SbqMCyNBmjFcXmwWQZCLTmjvg==" saltValue="49zEB2W24GHegm5HT1WqkQ==" spinCount="100000" sheet="1" objects="1" scenarios="1"/>
  <mergeCells count="78">
    <mergeCell ref="A26:A28"/>
    <mergeCell ref="B26:E26"/>
    <mergeCell ref="F26:G26"/>
    <mergeCell ref="H26:I26"/>
    <mergeCell ref="K26:K28"/>
    <mergeCell ref="B27:E27"/>
    <mergeCell ref="F27:G27"/>
    <mergeCell ref="H27:I27"/>
    <mergeCell ref="B28:E28"/>
    <mergeCell ref="F28:G28"/>
    <mergeCell ref="H28:I28"/>
    <mergeCell ref="B17:E17"/>
    <mergeCell ref="F17:G17"/>
    <mergeCell ref="H17:I17"/>
    <mergeCell ref="B33:J33"/>
    <mergeCell ref="B34:K34"/>
    <mergeCell ref="H25:J25"/>
    <mergeCell ref="K23:K25"/>
    <mergeCell ref="B24:E24"/>
    <mergeCell ref="B18:E18"/>
    <mergeCell ref="F18:G18"/>
    <mergeCell ref="H18:I18"/>
    <mergeCell ref="B19:E19"/>
    <mergeCell ref="F19:G19"/>
    <mergeCell ref="H19:I19"/>
    <mergeCell ref="A11:A19"/>
    <mergeCell ref="B11:E11"/>
    <mergeCell ref="F11:G11"/>
    <mergeCell ref="H11:I11"/>
    <mergeCell ref="K11:K19"/>
    <mergeCell ref="B12:E12"/>
    <mergeCell ref="F12:G12"/>
    <mergeCell ref="H12:I12"/>
    <mergeCell ref="B13:E13"/>
    <mergeCell ref="F13:G13"/>
    <mergeCell ref="H13:I13"/>
    <mergeCell ref="B14:E14"/>
    <mergeCell ref="F14:G14"/>
    <mergeCell ref="H14:I14"/>
    <mergeCell ref="B15:E15"/>
    <mergeCell ref="F15:G15"/>
    <mergeCell ref="A23:A25"/>
    <mergeCell ref="B23:E23"/>
    <mergeCell ref="F23:G23"/>
    <mergeCell ref="H23:J23"/>
    <mergeCell ref="F24:G24"/>
    <mergeCell ref="H24:J24"/>
    <mergeCell ref="B25:E25"/>
    <mergeCell ref="F25:G25"/>
    <mergeCell ref="H15:I15"/>
    <mergeCell ref="B16:E16"/>
    <mergeCell ref="F16:G16"/>
    <mergeCell ref="H16:I16"/>
    <mergeCell ref="I7:J8"/>
    <mergeCell ref="B9:C9"/>
    <mergeCell ref="D9:E9"/>
    <mergeCell ref="G9:H9"/>
    <mergeCell ref="I9:J9"/>
    <mergeCell ref="B10:C10"/>
    <mergeCell ref="D10:E10"/>
    <mergeCell ref="G10:H10"/>
    <mergeCell ref="I10:J10"/>
    <mergeCell ref="K7:K8"/>
    <mergeCell ref="B8:F8"/>
    <mergeCell ref="A1:K1"/>
    <mergeCell ref="A2:K2"/>
    <mergeCell ref="B3:C3"/>
    <mergeCell ref="D3:F3"/>
    <mergeCell ref="H3:K3"/>
    <mergeCell ref="A4:A6"/>
    <mergeCell ref="B4:J4"/>
    <mergeCell ref="K4:K6"/>
    <mergeCell ref="B5:F5"/>
    <mergeCell ref="G5:J6"/>
    <mergeCell ref="B6:F6"/>
    <mergeCell ref="A7:A8"/>
    <mergeCell ref="B7:F7"/>
    <mergeCell ref="G7:H8"/>
  </mergeCells>
  <printOptions horizontalCentered="1"/>
  <pageMargins left="0.45" right="0.45" top="1.25" bottom="0.75" header="1" footer="0.55000000000000004"/>
  <pageSetup scale="70" orientation="portrait" horizontalDpi="4294967295" verticalDpi="4294967295" r:id="rId1"/>
  <headerFooter>
    <oddHeader>&amp;Cพัฒนาโดย ดร.ประสิทธิ์ พงษ์เรืองพันธุ์ และรศ.ดร.เรณา พงษ์เรืองพันธุ์ วิทยาลัยนานาชาติ มหาวิทยาลัยบูรพา</oddHeader>
    <oddFooter>&amp;LWebsite: http://buuic.buu.ac.th/&amp;C&amp;F   &amp;D   &amp;T&amp;RE-mail: prasitp_g@yahoo.com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A1:I16"/>
  <sheetViews>
    <sheetView showGridLines="0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F9" sqref="F9"/>
    </sheetView>
  </sheetViews>
  <sheetFormatPr defaultColWidth="9.09765625" defaultRowHeight="13.8" x14ac:dyDescent="0.25"/>
  <cols>
    <col min="1" max="1" width="8.8984375" style="28" customWidth="1"/>
    <col min="2" max="2" width="15.296875" style="28" customWidth="1"/>
    <col min="3" max="5" width="15.69921875" style="28" customWidth="1"/>
    <col min="6" max="6" width="19.59765625" style="28" customWidth="1"/>
    <col min="7" max="7" width="39.3984375" style="28" customWidth="1"/>
    <col min="8" max="16384" width="9.09765625" style="28"/>
  </cols>
  <sheetData>
    <row r="1" spans="1:9" ht="25.8" x14ac:dyDescent="0.25">
      <c r="A1" s="27" t="s">
        <v>35</v>
      </c>
      <c r="B1" s="172" t="str">
        <f>IF(คณะ!A2="","",คณะ!A2)</f>
        <v/>
      </c>
      <c r="C1" s="172"/>
      <c r="D1" s="172"/>
      <c r="E1" s="172"/>
      <c r="F1" s="172"/>
      <c r="G1" s="172"/>
    </row>
    <row r="2" spans="1:9" ht="26.4" thickBot="1" x14ac:dyDescent="0.55000000000000004">
      <c r="A2" s="173" t="s">
        <v>36</v>
      </c>
      <c r="B2" s="173"/>
      <c r="C2" s="173"/>
      <c r="D2" s="173"/>
      <c r="E2" s="173"/>
      <c r="F2" s="173"/>
      <c r="G2" s="173"/>
    </row>
    <row r="3" spans="1:9" ht="23.4" x14ac:dyDescent="0.25">
      <c r="A3" s="174" t="s">
        <v>37</v>
      </c>
      <c r="B3" s="177" t="s">
        <v>38</v>
      </c>
      <c r="C3" s="178"/>
      <c r="D3" s="178"/>
      <c r="E3" s="178"/>
      <c r="F3" s="179"/>
      <c r="G3" s="85" t="s">
        <v>39</v>
      </c>
    </row>
    <row r="4" spans="1:9" ht="15.6" x14ac:dyDescent="0.25">
      <c r="A4" s="175"/>
      <c r="B4" s="180"/>
      <c r="C4" s="181"/>
      <c r="D4" s="181"/>
      <c r="E4" s="181"/>
      <c r="F4" s="182"/>
      <c r="G4" s="86" t="s">
        <v>40</v>
      </c>
    </row>
    <row r="5" spans="1:9" ht="16.2" thickBot="1" x14ac:dyDescent="0.3">
      <c r="A5" s="175"/>
      <c r="B5" s="183"/>
      <c r="C5" s="184"/>
      <c r="D5" s="184"/>
      <c r="E5" s="184"/>
      <c r="F5" s="185"/>
      <c r="G5" s="86" t="s">
        <v>41</v>
      </c>
    </row>
    <row r="6" spans="1:9" ht="15.6" x14ac:dyDescent="0.25">
      <c r="A6" s="175"/>
      <c r="B6" s="186" t="s">
        <v>42</v>
      </c>
      <c r="C6" s="189" t="s">
        <v>43</v>
      </c>
      <c r="D6" s="189" t="s">
        <v>44</v>
      </c>
      <c r="E6" s="189" t="s">
        <v>45</v>
      </c>
      <c r="F6" s="192" t="s">
        <v>33</v>
      </c>
      <c r="G6" s="86" t="s">
        <v>46</v>
      </c>
    </row>
    <row r="7" spans="1:9" ht="15.6" x14ac:dyDescent="0.25">
      <c r="A7" s="175"/>
      <c r="B7" s="187"/>
      <c r="C7" s="190"/>
      <c r="D7" s="190"/>
      <c r="E7" s="190"/>
      <c r="F7" s="193"/>
      <c r="G7" s="86" t="s">
        <v>47</v>
      </c>
    </row>
    <row r="8" spans="1:9" ht="16.2" thickBot="1" x14ac:dyDescent="0.3">
      <c r="A8" s="176"/>
      <c r="B8" s="188"/>
      <c r="C8" s="191"/>
      <c r="D8" s="191"/>
      <c r="E8" s="191"/>
      <c r="F8" s="194"/>
      <c r="G8" s="87" t="s">
        <v>48</v>
      </c>
    </row>
    <row r="9" spans="1:9" ht="27" thickTop="1" thickBot="1" x14ac:dyDescent="0.3">
      <c r="A9" s="29">
        <v>1</v>
      </c>
      <c r="B9" s="30">
        <v>6</v>
      </c>
      <c r="C9" s="31" t="str">
        <f>IF(AND(คณะ!K9="",คณะ!K10="",คณะ!K11=""),"",AVERAGE(คณะ!K9:K11))</f>
        <v/>
      </c>
      <c r="D9" s="31" t="str">
        <f>IF(SUM(คณะ!K20:K21)=0,"",IF(AND(คณะ!K20="",คณะ!K21=""),"ไม่มี นศ ป.ตรี",AVERAGE(คณะ!K20:K21)))</f>
        <v/>
      </c>
      <c r="E9" s="32" t="str">
        <f>คณะ!K7</f>
        <v/>
      </c>
      <c r="F9" s="31" t="str">
        <f>IF(AND(คณะ!K7="",คณะ!K9="",คณะ!K10="",คณะ!K11="",คณะ!K20="",คณะ!K21=""),"",ROUND(AVERAGE(คณะ!K7:K21),2))</f>
        <v/>
      </c>
      <c r="G9" s="56" t="str">
        <f>IF(AND(F9&gt;=4.51,F9&lt;=5),"การดำเนินงานระดับดีมาก",IF(AND(F9&gt;=3.51,F9&lt;4.51),"การดำเนินงานระดับดี",IF(AND(F9&gt;=2.51,F9&lt;3.51),"การดำเนินงานระดับพอใช้",IF(AND(F9&gt;=1.51,F9&lt;2.51),"การดำเนินงานต้องปรับปรุง",IF(F9&lt;1.51,"การดำเนินงานต้องปรับปรุงเร่งด่วน","")))))</f>
        <v/>
      </c>
    </row>
    <row r="10" spans="1:9" ht="26.4" thickBot="1" x14ac:dyDescent="0.3">
      <c r="A10" s="33">
        <v>2</v>
      </c>
      <c r="B10" s="33">
        <v>3</v>
      </c>
      <c r="C10" s="34" t="str">
        <f>คณะ!K23</f>
        <v/>
      </c>
      <c r="D10" s="34" t="str">
        <f>คณะ!K22</f>
        <v/>
      </c>
      <c r="E10" s="35" t="str">
        <f>คณะ!K26</f>
        <v/>
      </c>
      <c r="F10" s="36" t="str">
        <f>IF(AND(คณะ!K22="",คณะ!K23="",คณะ!K26=""),"",ROUND(AVERAGE(คณะ!K22:K26),2))</f>
        <v/>
      </c>
      <c r="G10" s="57" t="str">
        <f>IF(AND(F10&gt;=4.51,F10&lt;=5),"การดำเนินงานระดับดีมาก",IF(AND(F10&gt;=3.51,F10&lt;4.51),"การดำเนินงานระดับดี",IF(AND(F10&gt;=2.51,F10&lt;3.51),"การดำเนินงานระดับพอใช้",IF(AND(F10&gt;=1.51,F10&lt;2.51),"การดำเนินงานต้องปรับปรุง",IF(F10&lt;1.51,"การดำเนินงานต้องปรับปรุงเร่งด่วน","")))))</f>
        <v/>
      </c>
    </row>
    <row r="11" spans="1:9" ht="26.4" thickBot="1" x14ac:dyDescent="0.3">
      <c r="A11" s="37">
        <v>3</v>
      </c>
      <c r="B11" s="37">
        <v>1</v>
      </c>
      <c r="C11" s="38" t="s">
        <v>49</v>
      </c>
      <c r="D11" s="38" t="str">
        <f>คณะ!K29</f>
        <v/>
      </c>
      <c r="E11" s="38" t="s">
        <v>49</v>
      </c>
      <c r="F11" s="39" t="str">
        <f>คณะ!K29</f>
        <v/>
      </c>
      <c r="G11" s="58" t="str">
        <f>IF(AND(F11&gt;=4.51,F11&lt;=5),"การดำเนินงานระดับดีมาก",IF(AND(F11&gt;=3.51,F11&lt;4.51),"การดำเนินงานระดับดี",IF(AND(F11&gt;=2.51,F11&lt;3.51),"การดำเนินงานระดับพอใช้",IF(AND(F11&gt;=1.51,F11&lt;2.51),"การดำเนินงานต้องปรับปรุง",IF(F11&lt;1.51,"การดำเนินงานต้องปรับปรุงเร่งด่วน","")))))</f>
        <v/>
      </c>
    </row>
    <row r="12" spans="1:9" ht="26.4" thickBot="1" x14ac:dyDescent="0.3">
      <c r="A12" s="40">
        <v>4</v>
      </c>
      <c r="B12" s="40">
        <v>1</v>
      </c>
      <c r="C12" s="41" t="s">
        <v>49</v>
      </c>
      <c r="D12" s="41" t="str">
        <f>คณะ!K30</f>
        <v/>
      </c>
      <c r="E12" s="41" t="s">
        <v>49</v>
      </c>
      <c r="F12" s="42" t="str">
        <f>คณะ!K30</f>
        <v/>
      </c>
      <c r="G12" s="59" t="str">
        <f>IF(AND(F12&gt;=4.51,F12&lt;=5),"การดำเนินงานระดับดีมาก",IF(AND(F12&gt;=3.51,F12&lt;4.51),"การดำเนินงานระดับดี",IF(AND(F12&gt;=2.51,F12&lt;3.51),"การดำเนินงานระดับพอใช้",IF(AND(F12&gt;=1.51,F12&lt;2.51),"การดำเนินงานต้องปรับปรุง",IF(F12&lt;1.51,"การดำเนินงานต้องปรับปรุงเร่งด่วน","")))))</f>
        <v/>
      </c>
    </row>
    <row r="13" spans="1:9" ht="26.4" thickBot="1" x14ac:dyDescent="0.3">
      <c r="A13" s="43">
        <v>5</v>
      </c>
      <c r="B13" s="43">
        <v>2</v>
      </c>
      <c r="C13" s="44" t="s">
        <v>49</v>
      </c>
      <c r="D13" s="45" t="str">
        <f>IF(AND(คณะ!K31="",คณะ!K32=""),"",AVERAGE(คณะ!K31:K32))</f>
        <v/>
      </c>
      <c r="E13" s="46" t="s">
        <v>49</v>
      </c>
      <c r="F13" s="47" t="str">
        <f>IF(AND(คณะ!K31="",คณะ!K32=""),"",ROUND(AVERAGE(คณะ!K31:K32),2))</f>
        <v/>
      </c>
      <c r="G13" s="60" t="str">
        <f>IF(AND(F13&gt;=4.51,F13&lt;=5),"การดำเนินงานระดับดีมาก",IF(AND(F13&gt;=3.51,F13&lt;4.51),"การดำเนินงานระดับดี",IF(AND(F13&gt;=2.51,F13&lt;3.51),"การดำเนินงานระดับพอใช้",IF(AND(F13&gt;=1.51,F13&lt;2.51),"การดำเนินงานต้องปรับปรุง",IF(F13&lt;1.51,"การดำเนินงานต้องปรับปรุงเร่งด่วน","")))))</f>
        <v/>
      </c>
    </row>
    <row r="14" spans="1:9" ht="26.4" thickBot="1" x14ac:dyDescent="0.3">
      <c r="A14" s="48" t="s">
        <v>50</v>
      </c>
      <c r="B14" s="48">
        <v>13</v>
      </c>
      <c r="C14" s="48">
        <v>4</v>
      </c>
      <c r="D14" s="48">
        <v>7</v>
      </c>
      <c r="E14" s="48">
        <v>2</v>
      </c>
      <c r="F14" s="49"/>
      <c r="G14" s="49"/>
    </row>
    <row r="15" spans="1:9" ht="26.4" thickBot="1" x14ac:dyDescent="0.3">
      <c r="A15" s="168" t="s">
        <v>33</v>
      </c>
      <c r="B15" s="169"/>
      <c r="C15" s="50" t="str">
        <f>IF(AND(คณะ!K9="",คณะ!K10="",คณะ!K11="",คณะ!K23=""),"",ROUND(AVERAGE(คณะ!K9:K11,คณะ!K23),2))</f>
        <v/>
      </c>
      <c r="D15" s="50" t="str">
        <f>IF(AND(คณะ!K20="",คณะ!K21="",คณะ!K22="",คณะ!K29="",คณะ!K30="",คณะ!K31="",คณะ!K32=""),"",ROUND(AVERAGE(คณะ!K20:K22,คณะ!K29:K32),2))</f>
        <v/>
      </c>
      <c r="E15" s="50" t="str">
        <f>IF(AND(คณะ!K7="",คณะ!K26=""),"",ROUND(AVERAGE(คณะ!K7,คณะ!K26),2))</f>
        <v/>
      </c>
      <c r="F15" s="51" t="str">
        <f>IF(คณะ!K33="","",ROUND(AVERAGE(คณะ!K7:K32),2))</f>
        <v/>
      </c>
      <c r="G15" s="61" t="str">
        <f>IF(AND(F15&gt;=4.51,F15&lt;=5),"การดำเนินงานระดับดีมาก",IF(AND(F15&gt;=3.51,F15&lt;4.51),"การดำเนินงานระดับดี",IF(AND(F15&gt;=2.51,F15&lt;3.51),"การดำเนินงานระดับพอใช้",IF(AND(F15&gt;=1.51,F15&lt;2.51),"การดำเนินงานต้องปรับปรุง",IF(F15&lt;1.51,"การดำเนินงานต้องปรับปรุงเร่งด่วน","")))))</f>
        <v/>
      </c>
      <c r="I15" s="52"/>
    </row>
    <row r="16" spans="1:9" ht="65.099999999999994" customHeight="1" thickBot="1" x14ac:dyDescent="0.3">
      <c r="A16" s="170" t="s">
        <v>39</v>
      </c>
      <c r="B16" s="171"/>
      <c r="C16" s="55" t="str">
        <f>IF(AND(C15&gt;=4.51,C15&lt;=5),"การดำเนินงานระดับดีมาก",IF(AND(C15&gt;=3.51,C15&lt;4.51),"การดำเนินงานระดับดี",IF(AND(C15&gt;=2.51,C15&lt;3.51),"การดำเนินงานระดับพอใช้",IF(AND(C15&gt;=1.51,C15&lt;2.51),"การดำเนินงานต้องปรับปรุง",IF(C15&lt;1.51,"การดำเนินงานต้องปรับปรุงเร่งด่วน","")))))</f>
        <v/>
      </c>
      <c r="D16" s="55" t="str">
        <f t="shared" ref="D16:E16" si="0">IF(AND(D15&gt;=4.51,D15&lt;=5),"การดำเนินงานระดับดีมาก",IF(AND(D15&gt;=3.51,D15&lt;4.51),"การดำเนินงานระดับดี",IF(AND(D15&gt;=2.51,D15&lt;3.51),"การดำเนินงานระดับพอใช้",IF(AND(D15&gt;=1.51,D15&lt;2.51),"การดำเนินงานต้องปรับปรุง",IF(D15&lt;1.51,"การดำเนินงานต้องปรับปรุงเร่งด่วน","")))))</f>
        <v/>
      </c>
      <c r="E16" s="55" t="str">
        <f t="shared" si="0"/>
        <v/>
      </c>
      <c r="F16" s="53"/>
      <c r="G16" s="54"/>
    </row>
  </sheetData>
  <sheetProtection algorithmName="SHA-512" hashValue="6WzAF5VztJxYvfjAJrWYd2Le+nGcK1ArToPZap9DZzbhkgOxBYlkwz8qgsfjWkq9uDFgHIpvTVEtI51Li6YV+Q==" saltValue="MByJYSOjM+H4UsHLk2JFnw==" spinCount="100000" sheet="1" objects="1" scenarios="1"/>
  <mergeCells count="11">
    <mergeCell ref="A15:B15"/>
    <mergeCell ref="A16:B16"/>
    <mergeCell ref="B1:G1"/>
    <mergeCell ref="A2:G2"/>
    <mergeCell ref="A3:A8"/>
    <mergeCell ref="B3:F5"/>
    <mergeCell ref="B6:B8"/>
    <mergeCell ref="C6:C8"/>
    <mergeCell ref="D6:D8"/>
    <mergeCell ref="E6:E8"/>
    <mergeCell ref="F6:F8"/>
  </mergeCells>
  <printOptions horizontalCentered="1"/>
  <pageMargins left="0.7" right="0.7" top="1.25" bottom="0.75" header="0.8" footer="0.55000000000000004"/>
  <pageSetup scale="93" fitToHeight="0" orientation="landscape" horizontalDpi="4294967295" verticalDpi="4294967295" r:id="rId1"/>
  <headerFooter>
    <oddHeader>&amp;Cพัฒนาโดย ดร.ประสิทธิ์ พงษ์เรืองพันธุ์ และรศ.ดร.เรณา พงษ์เรืองพันธุ์ วิทยาลัยนานาชาติ มหาวิทยาลัยบูรพา</oddHeader>
    <oddFooter>&amp;LWebsite: http://buuic.buu.ac.th/&amp;C&amp;F   &amp;D   &amp;T&amp;RE-mail: prasitp_g@yahoo.com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คณะ</vt:lpstr>
      <vt:lpstr>ผลวิเคราะห์</vt:lpstr>
      <vt:lpstr>คณะ!Print_Area</vt:lpstr>
      <vt:lpstr>ผลวิเคราะห์!Print_Area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Wijittre_Aye</cp:lastModifiedBy>
  <cp:lastPrinted>2015-11-18T10:04:51Z</cp:lastPrinted>
  <dcterms:created xsi:type="dcterms:W3CDTF">2015-11-07T14:26:32Z</dcterms:created>
  <dcterms:modified xsi:type="dcterms:W3CDTF">2017-07-04T01:55:32Z</dcterms:modified>
</cp:coreProperties>
</file>