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sit\โปรแกรมวิเคราะห์ใหม่\สกอ รอบใหม่\"/>
    </mc:Choice>
  </mc:AlternateContent>
  <bookViews>
    <workbookView xWindow="0" yWindow="0" windowWidth="20490" windowHeight="8445"/>
  </bookViews>
  <sheets>
    <sheet name="หลักสูตร" sheetId="1" r:id="rId1"/>
    <sheet name="ผลวิเคราะห์" sheetId="2" r:id="rId2"/>
  </sheets>
  <definedNames>
    <definedName name="_xlnm.Print_Area" localSheetId="0">หลักสูตร!$A$1:$K$46</definedName>
    <definedName name="_xlnm.Print_Titles" localSheetId="0">หลักสูตร!$1:$6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42" i="1" l="1"/>
  <c r="CJ41" i="1"/>
  <c r="CJ40" i="1"/>
  <c r="CH40" i="1"/>
  <c r="K7" i="1"/>
  <c r="CA42" i="1" l="1"/>
  <c r="CB42" i="1"/>
  <c r="CC42" i="1"/>
  <c r="CE41" i="1"/>
  <c r="CE40" i="1"/>
  <c r="CD41" i="1"/>
  <c r="CD40" i="1"/>
  <c r="CD42" i="1"/>
  <c r="CE42" i="1"/>
  <c r="CF42" i="1"/>
  <c r="CF41" i="1"/>
  <c r="CF40" i="1"/>
  <c r="CG42" i="1"/>
  <c r="CG41" i="1"/>
  <c r="CG40" i="1"/>
  <c r="CH42" i="1"/>
  <c r="CH41" i="1"/>
  <c r="CE43" i="1" l="1"/>
  <c r="CC43" i="1"/>
  <c r="CA43" i="1"/>
  <c r="CI42" i="1"/>
  <c r="CI41" i="1"/>
  <c r="CI40" i="1"/>
  <c r="CK42" i="1"/>
  <c r="CK41" i="1"/>
  <c r="CK40" i="1"/>
  <c r="E42" i="1" l="1"/>
  <c r="CT42" i="1"/>
  <c r="CS42" i="1"/>
  <c r="CR42" i="1"/>
  <c r="CQ42" i="1"/>
  <c r="CP42" i="1"/>
  <c r="CO42" i="1"/>
  <c r="CN42" i="1"/>
  <c r="CM42" i="1"/>
  <c r="CL42" i="1"/>
  <c r="CU42" i="1" l="1"/>
  <c r="CV42" i="1"/>
  <c r="CF8" i="1"/>
  <c r="CH8" i="1"/>
  <c r="CW42" i="1" l="1"/>
  <c r="CT41" i="1"/>
  <c r="CS41" i="1"/>
  <c r="CR41" i="1"/>
  <c r="CQ41" i="1"/>
  <c r="CP41" i="1"/>
  <c r="CO41" i="1"/>
  <c r="CN41" i="1"/>
  <c r="CM41" i="1"/>
  <c r="CL41" i="1"/>
  <c r="CT40" i="1"/>
  <c r="CS40" i="1"/>
  <c r="CR40" i="1"/>
  <c r="CQ40" i="1"/>
  <c r="CP40" i="1"/>
  <c r="CO40" i="1"/>
  <c r="CN40" i="1"/>
  <c r="CM40" i="1"/>
  <c r="CL40" i="1"/>
  <c r="CA40" i="1"/>
  <c r="CV41" i="1" l="1"/>
  <c r="CV40" i="1"/>
  <c r="CK7" i="1"/>
  <c r="CK8" i="1"/>
  <c r="CJ8" i="1"/>
  <c r="CI8" i="1"/>
  <c r="CG8" i="1"/>
  <c r="CE8" i="1"/>
  <c r="CD8" i="1"/>
  <c r="CC8" i="1"/>
  <c r="CB8" i="1"/>
  <c r="CA8" i="1"/>
  <c r="CB7" i="1"/>
  <c r="CA7" i="1"/>
  <c r="CC40" i="1" l="1"/>
  <c r="CB40" i="1"/>
  <c r="CC41" i="1"/>
  <c r="CB41" i="1"/>
  <c r="CA41" i="1"/>
  <c r="CU41" i="1" l="1"/>
  <c r="CW41" i="1" s="1"/>
  <c r="CU40" i="1"/>
  <c r="E2" i="2"/>
  <c r="CW40" i="1" l="1"/>
  <c r="L40" i="1" s="1"/>
  <c r="I42" i="1" s="1"/>
  <c r="B1" i="2"/>
  <c r="L41" i="1" l="1"/>
  <c r="L42" i="1"/>
  <c r="L9" i="1"/>
  <c r="K9" i="1"/>
  <c r="CJ7" i="1" l="1"/>
  <c r="G9" i="1"/>
  <c r="G11" i="1"/>
  <c r="I11" i="1"/>
  <c r="L3" i="1"/>
  <c r="I9" i="1"/>
  <c r="L10" i="1" s="1"/>
  <c r="L11" i="1" l="1"/>
  <c r="K11" i="1"/>
  <c r="L43" i="1"/>
  <c r="K43" i="1"/>
  <c r="L39" i="1"/>
  <c r="K39" i="1"/>
  <c r="L38" i="1"/>
  <c r="K38" i="1"/>
  <c r="L37" i="1"/>
  <c r="K37" i="1"/>
  <c r="C14" i="2" s="1"/>
  <c r="L36" i="1"/>
  <c r="K36" i="1"/>
  <c r="L35" i="1"/>
  <c r="I35" i="1"/>
  <c r="L34" i="1"/>
  <c r="I34" i="1"/>
  <c r="L33" i="1"/>
  <c r="I33" i="1"/>
  <c r="L32" i="1"/>
  <c r="I32" i="1"/>
  <c r="G32" i="1"/>
  <c r="E32" i="1"/>
  <c r="L31" i="1"/>
  <c r="I31" i="1"/>
  <c r="G31" i="1"/>
  <c r="E31" i="1"/>
  <c r="L30" i="1"/>
  <c r="I30" i="1"/>
  <c r="K30" i="1" s="1"/>
  <c r="G30" i="1"/>
  <c r="E30" i="1"/>
  <c r="L29" i="1"/>
  <c r="B29" i="1"/>
  <c r="L28" i="1"/>
  <c r="G28" i="1"/>
  <c r="I28" i="1" s="1"/>
  <c r="E28" i="1"/>
  <c r="I27" i="1"/>
  <c r="G27" i="1"/>
  <c r="L27" i="1" s="1"/>
  <c r="E27" i="1"/>
  <c r="G26" i="1"/>
  <c r="L26" i="1" s="1"/>
  <c r="E26" i="1"/>
  <c r="B25" i="1"/>
  <c r="L24" i="1"/>
  <c r="I24" i="1"/>
  <c r="G24" i="1"/>
  <c r="E24" i="1"/>
  <c r="L23" i="1"/>
  <c r="I23" i="1"/>
  <c r="G23" i="1"/>
  <c r="E23" i="1"/>
  <c r="L22" i="1"/>
  <c r="I22" i="1"/>
  <c r="K22" i="1" s="1"/>
  <c r="G22" i="1"/>
  <c r="E22" i="1"/>
  <c r="L21" i="1"/>
  <c r="B21" i="1"/>
  <c r="L20" i="1"/>
  <c r="K20" i="1"/>
  <c r="L19" i="1"/>
  <c r="K19" i="1"/>
  <c r="L18" i="1"/>
  <c r="K18" i="1"/>
  <c r="L17" i="1"/>
  <c r="K17" i="1"/>
  <c r="L16" i="1"/>
  <c r="L15" i="1"/>
  <c r="K15" i="1"/>
  <c r="I15" i="1"/>
  <c r="G15" i="1"/>
  <c r="CB14" i="1"/>
  <c r="L13" i="1"/>
  <c r="I13" i="1"/>
  <c r="G13" i="1"/>
  <c r="CI7" i="1"/>
  <c r="CH7" i="1"/>
  <c r="CG7" i="1"/>
  <c r="CF7" i="1"/>
  <c r="CE7" i="1"/>
  <c r="CD7" i="1"/>
  <c r="CC7" i="1"/>
  <c r="L7" i="1"/>
  <c r="I26" i="1" l="1"/>
  <c r="K13" i="1"/>
  <c r="E11" i="2" s="1"/>
  <c r="E17" i="2" s="1"/>
  <c r="E18" i="2" s="1"/>
  <c r="L12" i="1"/>
  <c r="C12" i="2"/>
  <c r="F12" i="2"/>
  <c r="G12" i="2" s="1"/>
  <c r="F15" i="2"/>
  <c r="G15" i="2" s="1"/>
  <c r="D15" i="2"/>
  <c r="CL8" i="1"/>
  <c r="CL7" i="1"/>
  <c r="K26" i="1" l="1"/>
  <c r="L25" i="1"/>
  <c r="L14" i="1"/>
  <c r="F11" i="2"/>
  <c r="G11" i="2" s="1"/>
  <c r="L8" i="1"/>
  <c r="G42" i="1"/>
  <c r="C17" i="2" l="1"/>
  <c r="C18" i="2" s="1"/>
  <c r="C13" i="2"/>
  <c r="F13" i="2"/>
  <c r="G13" i="2" s="1"/>
  <c r="K40" i="1"/>
  <c r="D17" i="2" l="1"/>
  <c r="D18" i="2" s="1"/>
  <c r="D14" i="2"/>
  <c r="K44" i="1"/>
  <c r="B46" i="1" s="1"/>
  <c r="F14" i="2"/>
  <c r="G14" i="2" s="1"/>
  <c r="F17" i="2" l="1"/>
  <c r="G17" i="2" s="1"/>
  <c r="B45" i="1"/>
  <c r="C9" i="2" s="1"/>
  <c r="G9" i="2" s="1"/>
</calcChain>
</file>

<file path=xl/comments1.xml><?xml version="1.0" encoding="utf-8"?>
<comments xmlns="http://schemas.openxmlformats.org/spreadsheetml/2006/main">
  <authors>
    <author>svoa108</author>
    <author>A</author>
    <author>admin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ใส่ชื่อหลักสูตร
ที่ทำการประเมิน</t>
        </r>
      </text>
    </comment>
    <comment ref="C3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0" shapeId="0">
      <text>
        <r>
          <rPr>
            <b/>
            <sz val="20"/>
            <color indexed="81"/>
            <rFont val="TH SarabunPSK"/>
            <family val="2"/>
          </rPr>
          <t>1. จำนวนอาจารย์
ประจำหลักสูตร</t>
        </r>
      </text>
    </comment>
    <comment ref="C7" authorId="0" shapeId="0">
      <text>
        <r>
          <rPr>
            <b/>
            <sz val="20"/>
            <color indexed="81"/>
            <rFont val="TH SarabunPSK"/>
            <family val="2"/>
          </rPr>
          <t>2. คุณสมบัติของ
อาจารย์ประจำหลักสูตร</t>
        </r>
      </text>
    </comment>
    <comment ref="D7" authorId="0" shapeId="0">
      <text>
        <r>
          <rPr>
            <b/>
            <sz val="20"/>
            <color indexed="81"/>
            <rFont val="TH SarabunPSK"/>
            <family val="2"/>
          </rPr>
          <t>3. คุณสมบัติของ
อาจารย์ผู้รับผิดชอบหลักสูตร</t>
        </r>
      </text>
    </comment>
    <comment ref="E7" authorId="0" shapeId="0">
      <text>
        <r>
          <rPr>
            <b/>
            <sz val="20"/>
            <color indexed="81"/>
            <rFont val="TH SarabunPSK"/>
            <family val="2"/>
          </rPr>
          <t>4. คุณสมบัติของ
อาจารย์ผู้สอน</t>
        </r>
      </text>
    </comment>
    <comment ref="F7" authorId="0" shape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
ที่ปรึกษาวิทยานิพนธ์หลัก และ
อาจารย์ที่ปรึกษาการค้นคว้าอิสระ</t>
        </r>
      </text>
    </comment>
    <comment ref="G7" authorId="0" shape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
ที่ปรึกษาวิทยานิพนธ์ร่วม (ถ้ามี)</t>
        </r>
      </text>
    </comment>
    <comment ref="H7" authorId="0" shape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
ผู้สอบวิทยานิพนธ์</t>
        </r>
      </text>
    </comment>
    <comment ref="I7" authorId="0" shape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
ของผู้สำเร็จการศึกษา</t>
        </r>
      </text>
    </comment>
    <comment ref="J7" authorId="0" shape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
วิทยานิพนธ์และการค้นคว้า
อิสระในระดับบัณฑิตศึกษา</t>
        </r>
      </text>
    </comment>
    <comment ref="B8" authorId="0" shapeId="0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
และการค้นคว้าอิสระในระดับ
บัณฑิตศึกษามีผลงานวิจัยอย่าง
ต่อเนื่องและสม่ำเสมอ</t>
        </r>
      </text>
    </comment>
    <comment ref="C8" authorId="0" shapeId="0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
ตามรอบระยะเวลาที่กำหนด</t>
        </r>
      </text>
    </comment>
    <comment ref="B9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9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
จากการประเมินบัณฑิต</t>
        </r>
      </text>
    </comment>
    <comment ref="G9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ร้อยละของบัณฑิตที่สำเร็จ
การศึกษา ที่ได้รับการ
ประเมินจากผู้ใช้บัณฑิต</t>
        </r>
      </text>
    </comment>
    <comment ref="D10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
การประเมินทั้งหมด</t>
        </r>
      </text>
    </comment>
    <comment ref="B11" authorId="0" shapeId="0">
      <text>
        <r>
          <rPr>
            <b/>
            <sz val="20"/>
            <color indexed="81"/>
            <rFont val="TH SarabunPSK"/>
            <family val="2"/>
          </rPr>
          <t>จำนวนบัณฑิตที่
สำเร็จการศึกษา
ในปีก่อนปีที่ประเมิน</t>
        </r>
      </text>
    </comment>
    <comment ref="D11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
งานทำตรงสาขาวิชาหรือ
ทำงานในสถานประกอบการที่
ดำเนินงานเกี่ยวข้องภายใน 1 ปี</t>
        </r>
      </text>
    </comment>
    <comment ref="G11" authorId="0" shapeId="0">
      <text>
        <r>
          <rPr>
            <b/>
            <sz val="20"/>
            <color indexed="81"/>
            <rFont val="TH SarabunPSK"/>
            <family val="2"/>
          </rPr>
          <t>ร้อยละของบัณฑิตปริญญาตรี
ที่ได้งานทำหรือประกอบ
อาชีพอิสระภายใน 1 ปี</t>
        </r>
      </text>
    </comment>
    <comment ref="D12" authorId="1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
ที่ตอบแบบสำรวจทั้งหมด</t>
        </r>
      </text>
    </comment>
    <comment ref="B13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และผู้สำเร็จการศึกษาระดับปริญญาโท</t>
        </r>
      </text>
    </comment>
    <comment ref="B14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ระดับปริญญาโททั้งหมด
ในปีที่ประเมิน</t>
        </r>
      </text>
    </comment>
    <comment ref="B15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
ที่ตีพิมพ์หรือเผยแพร่ของนักศึกษา
และผู้สำเร็จการศึกษาระดับปริญญาเอก</t>
        </r>
      </text>
    </comment>
    <comment ref="B16" authorId="1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
ระดับปริญญาเอกทั้งหมด
ในปีที่ประเมิน</t>
        </r>
      </text>
    </comment>
    <comment ref="B17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7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18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8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1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0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20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2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4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28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ประจำหลักสูตรที่มี
คุณวุฒิปริญญาเอก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
ที่ดำรงตำแหน่งทางวิชาการ</t>
        </r>
      </text>
    </comment>
    <comment ref="D3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2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
ของผลงานทางวิชาการ
ของอาจารย์ประจำหลักสูตร</t>
        </r>
      </text>
    </comment>
    <comment ref="D3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3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4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F35" authorId="0" shapeId="0">
      <text>
        <r>
          <rPr>
            <b/>
            <sz val="20"/>
            <color indexed="81"/>
            <rFont val="TH SarabunPSK"/>
            <family val="2"/>
          </rPr>
          <t>จำนวนบทความ
ที่ได้รับการอ้างอิง</t>
        </r>
      </text>
    </comment>
    <comment ref="H3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
ประจำหลักสูตรทั้งหมด</t>
        </r>
      </text>
    </comment>
    <comment ref="B36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6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7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7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8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8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B39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39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  <comment ref="A40" authorId="2" shapeId="0">
      <text>
        <r>
          <rPr>
            <b/>
            <sz val="17"/>
            <color indexed="81"/>
            <rFont val="TH SarabunPSK"/>
            <family val="2"/>
          </rPr>
          <t>เป็นไปตามเกณฑ์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TQF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Y,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ไม่ใช่ใส่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N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และข้อ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7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ไม่ได้ทำ ให้เคาะ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space</t>
        </r>
        <r>
          <rPr>
            <b/>
            <sz val="8"/>
            <color indexed="81"/>
            <rFont val="TH SarabunPSK"/>
            <family val="2"/>
          </rPr>
          <t xml:space="preserve"> </t>
        </r>
        <r>
          <rPr>
            <b/>
            <sz val="17"/>
            <color indexed="81"/>
            <rFont val="TH SarabunPSK"/>
            <family val="2"/>
          </rPr>
          <t>bar</t>
        </r>
      </text>
    </comment>
    <comment ref="B40" authorId="0" shapeId="0">
      <text>
        <r>
          <rPr>
            <b/>
            <sz val="20"/>
            <color indexed="81"/>
            <rFont val="TH SarabunPSK"/>
            <family val="2"/>
          </rPr>
          <t>1. อาจารย์ประจำหลักสูตรอย่างน้อย
ร้อยละ 80 มีส่วนร่วมในการประชุม
เพื่อวางแผน ติดตาม และทบทวน
การดำเนินงานหลักสูตร</t>
        </r>
      </text>
    </comment>
    <comment ref="C40" authorId="0" shapeId="0">
      <text>
        <r>
          <rPr>
            <b/>
            <sz val="20"/>
            <color indexed="81"/>
            <rFont val="TH SarabunPSK"/>
            <family val="2"/>
          </rPr>
          <t>2. มีรายละเอียดของหลักสูตร ตามแบบ
มคอ. 2 ที่สอดคล้องกับกรอบมาตรฐาน
คุณวุฒิแห่งชาติ หรือมาตรฐานคุณวุฒิ
สาขา/สาขาวิชา (ถ้ามี)</t>
        </r>
      </text>
    </comment>
    <comment ref="D40" authorId="0" shapeId="0">
      <text>
        <r>
          <rPr>
            <b/>
            <sz val="20"/>
            <color indexed="81"/>
            <rFont val="TH SarabunPSK"/>
            <family val="2"/>
          </rPr>
          <t>3. มีรายละเอียดของรายวิชา และ
รายละเอียดของประสบการณ์ภาคสนาม
(ถ้ามี) ตามแบบ มคอ. 3 และ มคอ. 4
อย่างน้อยก่อนการเปิดสอนในแต่ละภาค
การศึกษาให้ครบทุกรายวิชา</t>
        </r>
      </text>
    </comment>
    <comment ref="E40" authorId="0" shapeId="0">
      <text>
        <r>
          <rPr>
            <b/>
            <sz val="20"/>
            <color indexed="81"/>
            <rFont val="TH SarabunPSK"/>
            <family val="2"/>
          </rPr>
          <t>4. จัดทำรายงานผลการดำเนินการของรายวิชา
และรายงานผลการดำเนินการของประสบการณ์
ภาคสนาม (ถ้ามี) ตามแบบ มคอ. 5 และ มคอ. 6
ภายใน 30 วัน หลังสิ้นสุดภาคการศึกษาที่เปิดสอน
ให้ครบทุกรายวิชา</t>
        </r>
      </text>
    </comment>
    <comment ref="F40" authorId="0" shapeId="0">
      <text>
        <r>
          <rPr>
            <b/>
            <sz val="20"/>
            <color indexed="81"/>
            <rFont val="TH SarabunPSK"/>
            <family val="2"/>
          </rPr>
          <t>5. จัดทำรายงานผลการดำเนินการ
ของหลักสูตร ตามแบบ มคอ. 7 
ภายใน 60 วัน หลังสิ้นสุดปีการศึกษา</t>
        </r>
      </text>
    </comment>
    <comment ref="G40" authorId="0" shapeId="0">
      <text>
        <r>
          <rPr>
            <b/>
            <sz val="20"/>
            <color indexed="81"/>
            <rFont val="TH SarabunPSK"/>
            <family val="2"/>
          </rPr>
          <t>6. มีการทวนสอบผลสัมฤทธิ์ของนักศึกษาตาม
มาตรฐานผลการเรียนรู้ที่กำหนดใน มคอ.3 
และ มคอ.4 (ถ้ามี) อย่างน้อยร้อยละ 25 ของ
รายวิชาที่เปิดสอนในแต่ละปีการศึกษา</t>
        </r>
      </text>
    </comment>
    <comment ref="H40" authorId="0" shapeId="0">
      <text>
        <r>
          <rPr>
            <b/>
            <sz val="20"/>
            <color indexed="81"/>
            <rFont val="TH SarabunPSK"/>
            <family val="2"/>
          </rPr>
          <t>7. มีการพัฒนา/ปรับปรุงการจัด
การเรียนการสอน กลยุทธ์การสอน
หรือการประเมินผลการเรียนรู้ จาก
ผลการประเมินการดำเนินงานที่
รายงานใน มคอ.7 ปีที่แล้ว</t>
        </r>
      </text>
    </comment>
    <comment ref="I40" authorId="0" shapeId="0">
      <text>
        <r>
          <rPr>
            <b/>
            <sz val="20"/>
            <color indexed="81"/>
            <rFont val="TH SarabunPSK"/>
            <family val="2"/>
          </rPr>
          <t>8. อาจารย์ใหม่ (ถ้ามี) ทุกคน
ได้รับการปฐมนิเทศหรือคำแนะนำ
ด้านการจัดการเรียนการสอน</t>
        </r>
      </text>
    </comment>
    <comment ref="J40" authorId="0" shapeId="0">
      <text>
        <r>
          <rPr>
            <b/>
            <sz val="20"/>
            <color indexed="81"/>
            <rFont val="TH SarabunPSK"/>
            <family val="2"/>
          </rPr>
          <t>9. อาจารย์ประจำทุกคนได้รับ
การพัฒนาทางวิชาการ และ/หรือ
วิชาชีพ อย่างน้อยปีละหนึ่งครั้ง</t>
        </r>
      </text>
    </comment>
    <comment ref="B41" authorId="0" shapeId="0">
      <text>
        <r>
          <rPr>
            <b/>
            <sz val="20"/>
            <color indexed="81"/>
            <rFont val="TH SarabunPSK"/>
            <family val="2"/>
          </rPr>
          <t>10. จำนวนบุคลากรสนับสนุนการ
เรียนการสอน (ถ้ามี) ได้รับการพัฒนา
วิชาการ และ/หรือ วิชาชีพ ไม่น้อย
กว่าร้อยละ 50 ต่อปี</t>
        </r>
      </text>
    </comment>
    <comment ref="C41" authorId="0" shapeId="0">
      <text>
        <r>
          <rPr>
            <b/>
            <sz val="20"/>
            <color indexed="81"/>
            <rFont val="TH SarabunPSK"/>
            <family val="2"/>
          </rPr>
          <t>11. ระดับความพึงพอใจของ
นักศึกษาปีสุดท้าย/บัณฑิตใหม่ที่มี
ต่อคุณภาพหลักสูตรเฉลี่ยไม่น้อย
กว่า 3.5 จากคะแนนเต็ม 5.0</t>
        </r>
      </text>
    </comment>
    <comment ref="D41" authorId="0" shapeId="0">
      <text>
        <r>
          <rPr>
            <b/>
            <sz val="20"/>
            <color indexed="81"/>
            <rFont val="TH SarabunPSK"/>
            <family val="2"/>
          </rPr>
          <t>12. ระดับความพึงพอใจของ
ผู้ใช้บัณฑิตที่มีต่อบัณฑิตใหม่
เฉลี่ยไม่น้อยกว่า 3.5 จาก
คะแนนเต็ม 5.0</t>
        </r>
      </text>
    </comment>
    <comment ref="E41" authorId="0" shapeId="0">
      <text>
        <r>
          <rPr>
            <b/>
            <sz val="20"/>
            <color indexed="81"/>
            <rFont val="TH SarabunPSK"/>
            <family val="2"/>
          </rPr>
          <t>13. การพัฒนาทักษะในหลักสูตรที่มี มคอ 1</t>
        </r>
      </text>
    </comment>
    <comment ref="F41" authorId="0" shapeId="0">
      <text>
        <r>
          <rPr>
            <b/>
            <sz val="20"/>
            <color indexed="81"/>
            <rFont val="TH SarabunPSK"/>
            <family val="2"/>
          </rPr>
          <t xml:space="preserve">14. </t>
        </r>
      </text>
    </comment>
    <comment ref="G41" authorId="0" shapeId="0">
      <text>
        <r>
          <rPr>
            <b/>
            <sz val="20"/>
            <color indexed="81"/>
            <rFont val="TH SarabunPSK"/>
            <family val="2"/>
          </rPr>
          <t xml:space="preserve">15. </t>
        </r>
      </text>
    </comment>
    <comment ref="H41" authorId="0" shapeId="0">
      <text>
        <r>
          <rPr>
            <b/>
            <sz val="20"/>
            <color indexed="81"/>
            <rFont val="TH SarabunPSK"/>
            <family val="2"/>
          </rPr>
          <t xml:space="preserve">16. </t>
        </r>
      </text>
    </comment>
    <comment ref="I41" authorId="0" shapeId="0">
      <text>
        <r>
          <rPr>
            <b/>
            <sz val="20"/>
            <color indexed="81"/>
            <rFont val="TH SarabunPSK"/>
            <family val="2"/>
          </rPr>
          <t xml:space="preserve">17. </t>
        </r>
      </text>
    </comment>
    <comment ref="J41" authorId="0" shapeId="0">
      <text>
        <r>
          <rPr>
            <b/>
            <sz val="20"/>
            <color indexed="81"/>
            <rFont val="TH SarabunPSK"/>
            <family val="2"/>
          </rPr>
          <t xml:space="preserve">18. </t>
        </r>
      </text>
    </comment>
    <comment ref="B42" authorId="0" shapeId="0">
      <text>
        <r>
          <rPr>
            <b/>
            <sz val="20"/>
            <color indexed="81"/>
            <rFont val="TH SarabunPSK"/>
            <family val="2"/>
          </rPr>
          <t xml:space="preserve">19. </t>
        </r>
      </text>
    </comment>
    <comment ref="C42" authorId="0" shapeId="0">
      <text>
        <r>
          <rPr>
            <b/>
            <sz val="20"/>
            <color indexed="81"/>
            <rFont val="TH SarabunPSK"/>
            <family val="2"/>
          </rPr>
          <t xml:space="preserve">20. </t>
        </r>
      </text>
    </comment>
    <comment ref="D42" authorId="0" shapeId="0">
      <text>
        <r>
          <rPr>
            <b/>
            <sz val="20"/>
            <color indexed="81"/>
            <rFont val="TH SarabunPSK"/>
            <family val="2"/>
          </rPr>
          <t>ให่ใส่เลข 1 เลข 2 หรือเลข 3
เมื่อ มคอ 2 ในหมวดที่ 7 ข้อ 7 ระบุว่า
1. ต้องควบคุมกำกับให้ตัวบ่งชี้ใน 5 ข้อแรกผ่าน
2. ไม่ต้องควบคุมกำกับให้ตัวบ่งชี้ใน 5 ข้อแรกต้องผ่านทุกข้อ
และเมื่อมีมติ จากสภาสถาบัน อนุญาตให้ปรับจำนวนข้อของ
TQF ในหลักสูตร ให้ใส่เลข 3</t>
        </r>
      </text>
    </comment>
    <comment ref="E42" authorId="0" shapeId="0">
      <text>
        <r>
          <rPr>
            <b/>
            <sz val="20"/>
            <color indexed="81"/>
            <rFont val="TH SarabunPSK"/>
            <family val="2"/>
          </rPr>
          <t xml:space="preserve">จำนวนข้อของผลการดำเนินงาน </t>
        </r>
        <r>
          <rPr>
            <b/>
            <u/>
            <sz val="22"/>
            <color indexed="81"/>
            <rFont val="TH SarabunPSK"/>
            <family val="2"/>
          </rPr>
          <t xml:space="preserve">ที่ทำได้
</t>
        </r>
        <r>
          <rPr>
            <b/>
            <sz val="20"/>
            <color indexed="81"/>
            <rFont val="TH SarabunPSK"/>
            <family val="2"/>
          </rPr>
          <t>ตามตัวบ่งชี้การดำเนินงานตามกรอบ
มาตรฐานคุณวุฒิระดับอุดมศึกษา</t>
        </r>
      </text>
    </comment>
    <comment ref="F42" authorId="0" shapeId="0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
กรอบมาตรฐานคุณวุฒิระดับอุดมศึกษา
ที่ระบุไว้ในหลักสูตรแต่ละปี</t>
        </r>
      </text>
    </comment>
    <comment ref="B43" authorId="0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
ข้อความสั้นๆ ได้</t>
        </r>
      </text>
    </comment>
    <comment ref="J43" authorId="0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
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<sst xmlns="http://schemas.openxmlformats.org/spreadsheetml/2006/main" count="71" uniqueCount="62">
  <si>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</si>
  <si>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</si>
  <si>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</si>
  <si>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</si>
  <si>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</si>
  <si>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</si>
  <si>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การบริหารจัดการหลักสูตรตามเกณฑ์มาตรฐานหลักสูตรที่กำหนดโดย สกอ.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</si>
  <si>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</si>
  <si>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</si>
  <si>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</si>
  <si>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</si>
  <si>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</si>
  <si>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</si>
  <si>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</si>
  <si>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</si>
  <si>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</si>
  <si>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</si>
  <si>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</si>
  <si>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</si>
  <si>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</si>
  <si>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</si>
  <si>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</si>
  <si>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t>วิทย์และเทคโนโลยี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</si>
  <si>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</si>
  <si>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t>วิทย์สุขภาพ</t>
  </si>
  <si>
    <t>มนุษย์สังคม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</si>
  <si>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</si>
  <si>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</si>
  <si>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</si>
  <si>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</si>
  <si>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</si>
  <si>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</si>
  <si>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คะแนนเฉลี่ยของ
ตัวบ่งชี้ในองค์ประกอบที่ 2-6</t>
  </si>
  <si>
    <t>ผลการประเมินระดับหลักสูตร</t>
  </si>
  <si>
    <t>หลักสูตร</t>
  </si>
  <si>
    <t>ตารางการวิเคราะห์คุณภาพการศึกษาภายในระดับหลักสูตร</t>
  </si>
  <si>
    <t>องค์ ประกอบ ที่</t>
  </si>
  <si>
    <t>จำนวนตัวบ่งชี้</t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</si>
  <si>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</si>
  <si>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</si>
  <si>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</si>
  <si>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</si>
  <si>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</si>
  <si>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</si>
  <si>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</si>
  <si>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</si>
  <si>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</si>
  <si>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</si>
  <si>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</si>
  <si>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คะแนนเฉลี่ย</t>
  </si>
  <si>
    <r>
      <rPr>
        <b/>
        <sz val="20"/>
        <rFont val="TH SarabunPSK"/>
        <family val="2"/>
      </rPr>
      <t>(เลข</t>
    </r>
    <r>
      <rPr>
        <b/>
        <sz val="20"/>
        <color rgb="FF0000CC"/>
        <rFont val="TH SarabunPSK"/>
        <family val="2"/>
      </rPr>
      <t xml:space="preserve"> 1 แทนระดับ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</si>
  <si>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เป็นไปตามเกณฑ์ใส่ Y, ไม่ใช่ใส่ N</t>
  </si>
  <si>
    <t>ช่องนี้ให้ใส่เลขแทนระดับปริญญา</t>
  </si>
  <si>
    <t>ระดับปริญญา</t>
  </si>
  <si>
    <t>ใส่ชื่อหลักสูตรที่ทำการประเมิน</t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</si>
  <si>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</si>
  <si>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</si>
  <si>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</si>
  <si>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</si>
  <si>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</si>
  <si>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b/>
        <sz val="16"/>
        <color theme="1"/>
        <rFont val="TH SarabunPSK"/>
        <family val="2"/>
      </rPr>
      <t xml:space="preserve"> ที่ดำรงตำแหน่งทางวิชาการ</t>
    </r>
  </si>
  <si>
    <t>ป.ตรี 3 บัณฑิต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</si>
</sst>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0000CC"/>
      <name val="TH SarabunPSK"/>
      <family val="2"/>
    </font>
    <font>
      <b/>
      <sz val="14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660066"/>
      <name val="TH SarabunPSK"/>
      <family val="2"/>
    </font>
    <font>
      <b/>
      <sz val="11"/>
      <color rgb="FFC00000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8"/>
      <color theme="9" tint="-0.499984740745262"/>
      <name val="TH SarabunPSK"/>
      <family val="2"/>
    </font>
    <font>
      <b/>
      <sz val="16"/>
      <color theme="9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2"/>
      <color theme="5" tint="-0.499984740745262"/>
      <name val="TH SarabunPSK"/>
      <family val="2"/>
    </font>
    <font>
      <b/>
      <sz val="20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8" tint="-0.249977111117893"/>
      <name val="TH SarabunPSK"/>
      <family val="2"/>
    </font>
    <font>
      <b/>
      <u/>
      <sz val="22"/>
      <color indexed="81"/>
      <name val="TH SarabunPSK"/>
      <family val="2"/>
    </font>
    <font>
      <b/>
      <sz val="11"/>
      <color theme="1"/>
      <name val="TH SarabunPSK"/>
      <family val="2"/>
    </font>
    <font>
      <b/>
      <sz val="17"/>
      <color indexed="81"/>
      <name val="TH SarabunPSK"/>
      <family val="2"/>
    </font>
    <font>
      <b/>
      <sz val="8"/>
      <color indexed="81"/>
      <name val="TH SarabunPSK"/>
      <family val="2"/>
    </font>
    <font>
      <b/>
      <sz val="12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2F9FE"/>
        <bgColor indexed="64"/>
      </patternFill>
    </fill>
    <fill>
      <patternFill patternType="solid">
        <fgColor rgb="FFEAE1EB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E1F6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3EBF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3" fillId="3" borderId="1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Fill="1" applyBorder="1" applyProtection="1">
      <protection hidden="1"/>
    </xf>
    <xf numFmtId="16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164" fontId="7" fillId="1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7" fillId="18" borderId="1" xfId="0" applyFont="1" applyFill="1" applyBorder="1" applyAlignment="1" applyProtection="1">
      <alignment wrapText="1"/>
      <protection hidden="1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1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8" fillId="24" borderId="27" xfId="0" applyFont="1" applyFill="1" applyBorder="1" applyAlignment="1" applyProtection="1">
      <alignment horizontal="center" vertical="center" wrapText="1" readingOrder="1"/>
      <protection hidden="1"/>
    </xf>
    <xf numFmtId="2" fontId="28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5" borderId="27" xfId="0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5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27" xfId="0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27" xfId="0" applyFont="1" applyFill="1" applyBorder="1" applyAlignment="1" applyProtection="1">
      <alignment horizontal="center" vertical="center" wrapText="1" readingOrder="1"/>
      <protection hidden="1"/>
    </xf>
    <xf numFmtId="2" fontId="28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7" borderId="27" xfId="0" applyNumberFormat="1" applyFont="1" applyFill="1" applyBorder="1" applyAlignment="1" applyProtection="1">
      <alignment horizontal="center" vertical="center" wrapText="1"/>
      <protection hidden="1"/>
    </xf>
    <xf numFmtId="2" fontId="4" fillId="24" borderId="27" xfId="0" applyNumberFormat="1" applyFont="1" applyFill="1" applyBorder="1" applyAlignment="1" applyProtection="1">
      <alignment horizontal="center" vertical="center" wrapText="1" readingOrder="1"/>
      <protection hidden="1"/>
    </xf>
    <xf numFmtId="0" fontId="28" fillId="28" borderId="27" xfId="0" applyFont="1" applyFill="1" applyBorder="1" applyAlignment="1" applyProtection="1">
      <alignment horizontal="center" vertical="center" wrapText="1" readingOrder="1"/>
      <protection hidden="1"/>
    </xf>
    <xf numFmtId="0" fontId="29" fillId="28" borderId="27" xfId="0" applyFont="1" applyFill="1" applyBorder="1" applyAlignment="1" applyProtection="1">
      <alignment horizontal="center" vertical="top" wrapText="1"/>
      <protection hidden="1"/>
    </xf>
    <xf numFmtId="2" fontId="28" fillId="2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4" fillId="29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1" fillId="30" borderId="27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Protection="1">
      <protection hidden="1"/>
    </xf>
    <xf numFmtId="0" fontId="5" fillId="0" borderId="0" xfId="0" applyFont="1" applyProtection="1">
      <protection hidden="1"/>
    </xf>
    <xf numFmtId="1" fontId="7" fillId="31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left" vertical="center"/>
      <protection hidden="1"/>
    </xf>
    <xf numFmtId="164" fontId="7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4" fontId="7" fillId="3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6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top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7" fillId="17" borderId="1" xfId="0" applyFont="1" applyFill="1" applyBorder="1" applyAlignment="1" applyProtection="1">
      <alignment vertical="center"/>
      <protection hidden="1"/>
    </xf>
    <xf numFmtId="0" fontId="10" fillId="17" borderId="1" xfId="0" applyFont="1" applyFill="1" applyBorder="1" applyAlignment="1" applyProtection="1">
      <alignment vertical="center"/>
      <protection hidden="1"/>
    </xf>
    <xf numFmtId="0" fontId="7" fillId="18" borderId="1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5" fontId="10" fillId="0" borderId="0" xfId="1" applyNumberFormat="1" applyFont="1" applyFill="1" applyBorder="1" applyAlignment="1" applyProtection="1">
      <alignment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35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left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1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9" fillId="24" borderId="27" xfId="0" applyFont="1" applyFill="1" applyBorder="1" applyAlignment="1" applyProtection="1">
      <alignment vertical="center" wrapText="1"/>
      <protection hidden="1"/>
    </xf>
    <xf numFmtId="2" fontId="9" fillId="25" borderId="27" xfId="0" applyNumberFormat="1" applyFont="1" applyFill="1" applyBorder="1" applyAlignment="1" applyProtection="1">
      <alignment horizontal="left" vertical="center"/>
      <protection hidden="1"/>
    </xf>
    <xf numFmtId="2" fontId="9" fillId="26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7" borderId="27" xfId="0" applyNumberFormat="1" applyFont="1" applyFill="1" applyBorder="1" applyAlignment="1" applyProtection="1">
      <alignment horizontal="left" vertical="center" wrapText="1"/>
      <protection hidden="1"/>
    </xf>
    <xf numFmtId="2" fontId="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28" borderId="27" xfId="0" applyFont="1" applyFill="1" applyBorder="1" applyAlignment="1" applyProtection="1">
      <alignment horizontal="center" vertical="top" wrapText="1"/>
      <protection hidden="1"/>
    </xf>
    <xf numFmtId="2" fontId="9" fillId="29" borderId="27" xfId="0" applyNumberFormat="1" applyFont="1" applyFill="1" applyBorder="1" applyAlignment="1" applyProtection="1">
      <alignment horizontal="left" vertical="top" wrapText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38" fillId="38" borderId="18" xfId="0" applyFont="1" applyFill="1" applyBorder="1" applyAlignment="1" applyProtection="1">
      <alignment horizontal="left" vertical="center" readingOrder="1"/>
      <protection hidden="1"/>
    </xf>
    <xf numFmtId="0" fontId="38" fillId="38" borderId="19" xfId="0" applyFont="1" applyFill="1" applyBorder="1" applyAlignment="1" applyProtection="1">
      <alignment horizontal="left" vertical="center" readingOrder="1"/>
      <protection hidden="1"/>
    </xf>
    <xf numFmtId="0" fontId="10" fillId="39" borderId="27" xfId="0" applyFont="1" applyFill="1" applyBorder="1" applyAlignment="1" applyProtection="1">
      <alignment horizontal="center" vertical="top" wrapText="1"/>
      <protection hidden="1"/>
    </xf>
    <xf numFmtId="0" fontId="31" fillId="39" borderId="27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1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2" fontId="10" fillId="0" borderId="14" xfId="0" applyNumberFormat="1" applyFont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Border="1" applyAlignment="1" applyProtection="1">
      <alignment horizontal="center" vertical="center" wrapText="1"/>
      <protection hidden="1"/>
    </xf>
    <xf numFmtId="2" fontId="8" fillId="15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15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35" fillId="0" borderId="12" xfId="0" applyFont="1" applyBorder="1" applyAlignme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0" fontId="35" fillId="0" borderId="2" xfId="0" applyFont="1" applyBorder="1" applyAlignment="1" applyProtection="1"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11" fillId="0" borderId="11" xfId="0" applyNumberFormat="1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15" borderId="6" xfId="0" applyNumberFormat="1" applyFont="1" applyFill="1" applyBorder="1" applyAlignment="1" applyProtection="1">
      <alignment horizontal="center"/>
      <protection locked="0"/>
    </xf>
    <xf numFmtId="4" fontId="9" fillId="15" borderId="7" xfId="0" applyNumberFormat="1" applyFont="1" applyFill="1" applyBorder="1" applyAlignment="1" applyProtection="1">
      <alignment horizontal="center"/>
      <protection locked="0"/>
    </xf>
    <xf numFmtId="4" fontId="9" fillId="15" borderId="8" xfId="0" applyNumberFormat="1" applyFont="1" applyFill="1" applyBorder="1" applyAlignment="1" applyProtection="1">
      <alignment horizontal="center"/>
      <protection locked="0"/>
    </xf>
    <xf numFmtId="0" fontId="9" fillId="15" borderId="6" xfId="0" applyNumberFormat="1" applyFont="1" applyFill="1" applyBorder="1" applyAlignment="1" applyProtection="1">
      <alignment horizontal="center" vertical="top"/>
      <protection locked="0"/>
    </xf>
    <xf numFmtId="0" fontId="9" fillId="15" borderId="7" xfId="0" applyNumberFormat="1" applyFont="1" applyFill="1" applyBorder="1" applyAlignment="1" applyProtection="1">
      <alignment horizontal="center" vertical="top"/>
      <protection locked="0"/>
    </xf>
    <xf numFmtId="0" fontId="9" fillId="15" borderId="8" xfId="0" applyNumberFormat="1" applyFont="1" applyFill="1" applyBorder="1" applyAlignment="1" applyProtection="1">
      <alignment horizontal="center" vertical="top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6" xfId="1" applyNumberFormat="1" applyFont="1" applyFill="1" applyBorder="1" applyAlignment="1" applyProtection="1">
      <alignment horizontal="center"/>
      <protection locked="0"/>
    </xf>
    <xf numFmtId="0" fontId="9" fillId="15" borderId="7" xfId="1" applyNumberFormat="1" applyFont="1" applyFill="1" applyBorder="1" applyAlignment="1" applyProtection="1">
      <alignment horizontal="center"/>
      <protection locked="0"/>
    </xf>
    <xf numFmtId="0" fontId="9" fillId="15" borderId="8" xfId="1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vertical="top" wrapText="1"/>
      <protection hidden="1"/>
    </xf>
    <xf numFmtId="2" fontId="9" fillId="15" borderId="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0" fontId="9" fillId="15" borderId="2" xfId="1" applyNumberFormat="1" applyFont="1" applyFill="1" applyBorder="1" applyAlignment="1" applyProtection="1">
      <alignment horizontal="center" vertical="top"/>
      <protection locked="0"/>
    </xf>
    <xf numFmtId="4" fontId="9" fillId="15" borderId="2" xfId="0" applyNumberFormat="1" applyFont="1" applyFill="1" applyBorder="1" applyAlignment="1" applyProtection="1">
      <alignment horizontal="center"/>
      <protection locked="0"/>
    </xf>
    <xf numFmtId="0" fontId="9" fillId="15" borderId="6" xfId="1" applyNumberFormat="1" applyFont="1" applyFill="1" applyBorder="1" applyAlignment="1" applyProtection="1">
      <alignment horizontal="center" vertical="top"/>
      <protection locked="0"/>
    </xf>
    <xf numFmtId="0" fontId="9" fillId="15" borderId="7" xfId="1" applyNumberFormat="1" applyFont="1" applyFill="1" applyBorder="1" applyAlignment="1" applyProtection="1">
      <alignment horizontal="center" vertical="top"/>
      <protection locked="0"/>
    </xf>
    <xf numFmtId="0" fontId="9" fillId="15" borderId="8" xfId="1" applyNumberFormat="1" applyFont="1" applyFill="1" applyBorder="1" applyAlignment="1" applyProtection="1">
      <alignment horizontal="center" vertical="top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" xfId="0" applyNumberFormat="1" applyFont="1" applyBorder="1" applyAlignment="1" applyProtection="1">
      <protection locked="0"/>
    </xf>
    <xf numFmtId="0" fontId="7" fillId="0" borderId="2" xfId="0" applyFont="1" applyBorder="1" applyAlignment="1" applyProtection="1">
      <alignment horizontal="right" vertical="center"/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11" fillId="0" borderId="2" xfId="0" applyNumberFormat="1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2" fontId="11" fillId="0" borderId="4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7" xfId="0" applyFont="1" applyFill="1" applyBorder="1" applyAlignment="1" applyProtection="1">
      <alignment horizontal="left" vertical="center"/>
      <protection hidden="1"/>
    </xf>
    <xf numFmtId="0" fontId="14" fillId="0" borderId="8" xfId="0" applyFont="1" applyFill="1" applyBorder="1" applyAlignment="1" applyProtection="1">
      <alignment horizontal="left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vertical="center"/>
      <protection hidden="1"/>
    </xf>
    <xf numFmtId="0" fontId="19" fillId="13" borderId="2" xfId="0" applyFont="1" applyFill="1" applyBorder="1" applyAlignment="1" applyProtection="1">
      <alignment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protection locked="0"/>
    </xf>
    <xf numFmtId="0" fontId="17" fillId="19" borderId="2" xfId="0" applyFont="1" applyFill="1" applyBorder="1" applyAlignment="1" applyProtection="1">
      <alignment vertical="center"/>
      <protection hidden="1"/>
    </xf>
    <xf numFmtId="0" fontId="17" fillId="17" borderId="2" xfId="0" applyFont="1" applyFill="1" applyBorder="1" applyAlignment="1" applyProtection="1">
      <alignment vertical="center"/>
      <protection hidden="1"/>
    </xf>
    <xf numFmtId="0" fontId="19" fillId="17" borderId="2" xfId="0" applyFont="1" applyFill="1" applyBorder="1" applyAlignment="1" applyProtection="1">
      <alignment vertical="center"/>
      <protection hidden="1"/>
    </xf>
    <xf numFmtId="0" fontId="2" fillId="20" borderId="2" xfId="0" applyFont="1" applyFill="1" applyBorder="1" applyAlignment="1" applyProtection="1">
      <alignment horizontal="center" vertical="top" wrapText="1"/>
      <protection hidden="1"/>
    </xf>
    <xf numFmtId="0" fontId="2" fillId="20" borderId="2" xfId="0" applyFont="1" applyFill="1" applyBorder="1" applyAlignment="1" applyProtection="1">
      <alignment horizontal="center" vertical="top"/>
      <protection hidden="1"/>
    </xf>
    <xf numFmtId="0" fontId="12" fillId="22" borderId="9" xfId="0" applyFont="1" applyFill="1" applyBorder="1" applyAlignment="1" applyProtection="1">
      <alignment horizontal="center" vertical="top"/>
      <protection hidden="1"/>
    </xf>
    <xf numFmtId="0" fontId="12" fillId="22" borderId="10" xfId="0" applyFont="1" applyFill="1" applyBorder="1" applyAlignment="1" applyProtection="1">
      <alignment horizontal="center" vertical="top"/>
      <protection hidden="1"/>
    </xf>
    <xf numFmtId="0" fontId="12" fillId="22" borderId="11" xfId="0" applyFont="1" applyFill="1" applyBorder="1" applyAlignment="1" applyProtection="1">
      <alignment horizontal="center" vertical="top"/>
      <protection hidden="1"/>
    </xf>
    <xf numFmtId="0" fontId="12" fillId="22" borderId="13" xfId="0" applyFont="1" applyFill="1" applyBorder="1" applyAlignment="1" applyProtection="1">
      <alignment horizontal="center"/>
      <protection hidden="1"/>
    </xf>
    <xf numFmtId="0" fontId="12" fillId="22" borderId="14" xfId="0" applyFont="1" applyFill="1" applyBorder="1" applyAlignment="1" applyProtection="1">
      <alignment horizontal="center"/>
      <protection hidden="1"/>
    </xf>
    <xf numFmtId="0" fontId="12" fillId="22" borderId="15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7" fillId="23" borderId="20" xfId="0" applyFont="1" applyFill="1" applyBorder="1" applyAlignment="1" applyProtection="1">
      <alignment horizontal="center" vertical="center" wrapText="1" readingOrder="1"/>
      <protection hidden="1"/>
    </xf>
    <xf numFmtId="0" fontId="17" fillId="23" borderId="24" xfId="0" applyFont="1" applyFill="1" applyBorder="1" applyAlignment="1" applyProtection="1">
      <alignment horizontal="center" vertical="center" wrapText="1" readingOrder="1"/>
      <protection hidden="1"/>
    </xf>
    <xf numFmtId="0" fontId="28" fillId="29" borderId="28" xfId="0" applyFont="1" applyFill="1" applyBorder="1" applyAlignment="1" applyProtection="1">
      <alignment horizontal="center" vertical="center" wrapText="1" readingOrder="1"/>
      <protection hidden="1"/>
    </xf>
    <xf numFmtId="0" fontId="28" fillId="29" borderId="29" xfId="0" applyFont="1" applyFill="1" applyBorder="1" applyAlignment="1" applyProtection="1">
      <alignment horizontal="center" vertical="center" wrapText="1" readingOrder="1"/>
      <protection hidden="1"/>
    </xf>
    <xf numFmtId="0" fontId="25" fillId="2" borderId="0" xfId="0" applyFont="1" applyFill="1" applyAlignment="1" applyProtection="1">
      <alignment horizontal="left" vertical="top" wrapText="1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10" fillId="38" borderId="17" xfId="0" applyFont="1" applyFill="1" applyBorder="1" applyAlignment="1" applyProtection="1">
      <alignment horizontal="center" vertical="center" wrapText="1" readingOrder="1"/>
      <protection hidden="1"/>
    </xf>
    <xf numFmtId="0" fontId="10" fillId="38" borderId="18" xfId="0" applyFont="1" applyFill="1" applyBorder="1" applyAlignment="1" applyProtection="1">
      <alignment horizontal="center" vertical="center" wrapText="1" readingOrder="1"/>
      <protection hidden="1"/>
    </xf>
    <xf numFmtId="0" fontId="10" fillId="38" borderId="19" xfId="0" applyFont="1" applyFill="1" applyBorder="1" applyAlignment="1" applyProtection="1">
      <alignment horizontal="center" vertical="center" wrapText="1" readingOrder="1"/>
      <protection hidden="1"/>
    </xf>
    <xf numFmtId="0" fontId="9" fillId="38" borderId="17" xfId="0" applyFont="1" applyFill="1" applyBorder="1" applyAlignment="1" applyProtection="1">
      <alignment horizontal="center" vertical="center" readingOrder="1"/>
      <protection hidden="1"/>
    </xf>
    <xf numFmtId="0" fontId="9" fillId="38" borderId="18" xfId="0" applyFont="1" applyFill="1" applyBorder="1" applyAlignment="1" applyProtection="1">
      <alignment horizontal="center" vertical="center" readingOrder="1"/>
      <protection hidden="1"/>
    </xf>
    <xf numFmtId="0" fontId="9" fillId="38" borderId="19" xfId="0" applyFont="1" applyFill="1" applyBorder="1" applyAlignment="1" applyProtection="1">
      <alignment horizontal="center" vertical="center" readingOrder="1"/>
      <protection hidden="1"/>
    </xf>
    <xf numFmtId="0" fontId="9" fillId="38" borderId="17" xfId="0" applyFont="1" applyFill="1" applyBorder="1" applyAlignment="1" applyProtection="1">
      <alignment horizontal="center" vertical="center" wrapText="1" readingOrder="1"/>
      <protection hidden="1"/>
    </xf>
    <xf numFmtId="0" fontId="9" fillId="38" borderId="18" xfId="0" applyFont="1" applyFill="1" applyBorder="1" applyAlignment="1" applyProtection="1">
      <alignment horizontal="center" vertical="center" wrapText="1" readingOrder="1"/>
      <protection hidden="1"/>
    </xf>
    <xf numFmtId="0" fontId="9" fillId="38" borderId="19" xfId="0" applyFont="1" applyFill="1" applyBorder="1" applyAlignment="1" applyProtection="1">
      <alignment horizontal="center" vertical="center" wrapText="1" readingOrder="1"/>
      <protection hidden="1"/>
    </xf>
    <xf numFmtId="0" fontId="30" fillId="39" borderId="28" xfId="0" applyFont="1" applyFill="1" applyBorder="1" applyAlignment="1" applyProtection="1">
      <alignment horizontal="center" vertical="center" wrapText="1" readingOrder="1"/>
      <protection hidden="1"/>
    </xf>
    <xf numFmtId="0" fontId="30" fillId="39" borderId="29" xfId="0" applyFont="1" applyFill="1" applyBorder="1" applyAlignment="1" applyProtection="1">
      <alignment horizontal="center" vertical="center" wrapText="1" readingOrder="1"/>
      <protection hidden="1"/>
    </xf>
    <xf numFmtId="0" fontId="28" fillId="23" borderId="20" xfId="0" applyFont="1" applyFill="1" applyBorder="1" applyAlignment="1" applyProtection="1">
      <alignment horizontal="center" vertical="center" wrapText="1" readingOrder="1"/>
      <protection hidden="1"/>
    </xf>
    <xf numFmtId="0" fontId="28" fillId="23" borderId="24" xfId="0" applyFont="1" applyFill="1" applyBorder="1" applyAlignment="1" applyProtection="1">
      <alignment horizontal="center" vertical="center" wrapText="1" readingOrder="1"/>
      <protection hidden="1"/>
    </xf>
    <xf numFmtId="0" fontId="32" fillId="23" borderId="20" xfId="0" applyFont="1" applyFill="1" applyBorder="1" applyAlignment="1" applyProtection="1">
      <alignment horizontal="center" vertical="center" readingOrder="1"/>
      <protection hidden="1"/>
    </xf>
    <xf numFmtId="0" fontId="32" fillId="23" borderId="24" xfId="0" applyFont="1" applyFill="1" applyBorder="1" applyAlignment="1" applyProtection="1">
      <alignment horizontal="center" vertical="center" readingOrder="1"/>
      <protection hidden="1"/>
    </xf>
    <xf numFmtId="0" fontId="5" fillId="23" borderId="21" xfId="0" applyFont="1" applyFill="1" applyBorder="1" applyAlignment="1" applyProtection="1">
      <alignment horizontal="center" vertical="center" readingOrder="1"/>
      <protection hidden="1"/>
    </xf>
    <xf numFmtId="0" fontId="5" fillId="23" borderId="22" xfId="0" applyFont="1" applyFill="1" applyBorder="1" applyAlignment="1" applyProtection="1">
      <alignment horizontal="center" vertical="center" readingOrder="1"/>
      <protection hidden="1"/>
    </xf>
    <xf numFmtId="0" fontId="5" fillId="23" borderId="23" xfId="0" applyFont="1" applyFill="1" applyBorder="1" applyAlignment="1" applyProtection="1">
      <alignment horizontal="center" vertical="center" readingOrder="1"/>
      <protection hidden="1"/>
    </xf>
    <xf numFmtId="0" fontId="5" fillId="23" borderId="25" xfId="0" applyFont="1" applyFill="1" applyBorder="1" applyAlignment="1" applyProtection="1">
      <alignment horizontal="center" vertical="center" readingOrder="1"/>
      <protection hidden="1"/>
    </xf>
    <xf numFmtId="0" fontId="5" fillId="23" borderId="16" xfId="0" applyFont="1" applyFill="1" applyBorder="1" applyAlignment="1" applyProtection="1">
      <alignment horizontal="center" vertical="center" readingOrder="1"/>
      <protection hidden="1"/>
    </xf>
    <xf numFmtId="0" fontId="5" fillId="23" borderId="26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vertical="top" wrapText="1"/>
      <protection hidden="1"/>
    </xf>
    <xf numFmtId="0" fontId="29" fillId="23" borderId="24" xfId="0" applyFont="1" applyFill="1" applyBorder="1" applyAlignment="1" applyProtection="1">
      <alignment vertical="top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3EBF9"/>
      <color rgb="FFFFDDDD"/>
      <color rgb="FFFFB7B7"/>
      <color rgb="FFF8FEB0"/>
      <color rgb="FFBDFFBD"/>
      <color rgb="FFE2F9FE"/>
      <color rgb="FFFFE1F6"/>
      <color rgb="FFFFC78F"/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190499</xdr:rowOff>
    </xdr:from>
    <xdr:to>
      <xdr:col>0</xdr:col>
      <xdr:colOff>3135629</xdr:colOff>
      <xdr:row>1</xdr:row>
      <xdr:rowOff>40004</xdr:rowOff>
    </xdr:to>
    <xdr:grpSp>
      <xdr:nvGrpSpPr>
        <xdr:cNvPr id="7" name="Group 6"/>
        <xdr:cNvGrpSpPr/>
      </xdr:nvGrpSpPr>
      <xdr:grpSpPr>
        <a:xfrm>
          <a:off x="209549" y="190499"/>
          <a:ext cx="2926080" cy="180373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10582</xdr:colOff>
      <xdr:row>2</xdr:row>
      <xdr:rowOff>211667</xdr:rowOff>
    </xdr:from>
    <xdr:to>
      <xdr:col>4</xdr:col>
      <xdr:colOff>20319</xdr:colOff>
      <xdr:row>2</xdr:row>
      <xdr:rowOff>211667</xdr:rowOff>
    </xdr:to>
    <xdr:cxnSp macro="">
      <xdr:nvCxnSpPr>
        <xdr:cNvPr id="9" name="Straight Arrow Connector 8"/>
        <xdr:cNvCxnSpPr/>
      </xdr:nvCxnSpPr>
      <xdr:spPr>
        <a:xfrm>
          <a:off x="5566832" y="889000"/>
          <a:ext cx="274320" cy="0"/>
        </a:xfrm>
        <a:prstGeom prst="straightConnector1">
          <a:avLst/>
        </a:prstGeom>
        <a:ln w="31750">
          <a:solidFill>
            <a:srgbClr val="FF0000"/>
          </a:solidFill>
          <a:headEnd type="stealth" w="lg" len="lg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2</xdr:row>
      <xdr:rowOff>201084</xdr:rowOff>
    </xdr:from>
    <xdr:to>
      <xdr:col>2</xdr:col>
      <xdr:colOff>20318</xdr:colOff>
      <xdr:row>2</xdr:row>
      <xdr:rowOff>201084</xdr:rowOff>
    </xdr:to>
    <xdr:cxnSp macro="">
      <xdr:nvCxnSpPr>
        <xdr:cNvPr id="10" name="Straight Arrow Connector 9"/>
        <xdr:cNvCxnSpPr/>
      </xdr:nvCxnSpPr>
      <xdr:spPr>
        <a:xfrm>
          <a:off x="5037665" y="878417"/>
          <a:ext cx="274320" cy="0"/>
        </a:xfrm>
        <a:prstGeom prst="straightConnector1">
          <a:avLst/>
        </a:prstGeom>
        <a:ln w="3175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40</xdr:row>
      <xdr:rowOff>333376</xdr:rowOff>
    </xdr:from>
    <xdr:to>
      <xdr:col>5</xdr:col>
      <xdr:colOff>133351</xdr:colOff>
      <xdr:row>42</xdr:row>
      <xdr:rowOff>41909</xdr:rowOff>
    </xdr:to>
    <xdr:grpSp>
      <xdr:nvGrpSpPr>
        <xdr:cNvPr id="8" name="Group 7"/>
        <xdr:cNvGrpSpPr/>
      </xdr:nvGrpSpPr>
      <xdr:grpSpPr>
        <a:xfrm>
          <a:off x="142876" y="14640929"/>
          <a:ext cx="6106528" cy="430427"/>
          <a:chOff x="142876" y="14773276"/>
          <a:chExt cx="6086475" cy="432433"/>
        </a:xfrm>
      </xdr:grpSpPr>
      <xdr:sp macro="" textlink="">
        <xdr:nvSpPr>
          <xdr:cNvPr id="2" name="TextBox 1"/>
          <xdr:cNvSpPr txBox="1"/>
        </xdr:nvSpPr>
        <xdr:spPr>
          <a:xfrm>
            <a:off x="142876" y="14773276"/>
            <a:ext cx="4819650" cy="361950"/>
          </a:xfrm>
          <a:prstGeom prst="rect">
            <a:avLst/>
          </a:prstGeom>
          <a:solidFill>
            <a:srgbClr val="66FFFF"/>
          </a:solidFill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18288" rtlCol="0" anchor="t"/>
          <a:lstStyle/>
          <a:p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ต้องเติมจำนวนข้อที่ระบุในหลักสูตร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(มคอ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2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หมวดที่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 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ข้อ </a:t>
            </a:r>
            <a:r>
              <a:rPr lang="en-US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) </a:t>
            </a: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ช่อง</a:t>
            </a:r>
            <a:r>
              <a:rPr lang="en-US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 F42</a:t>
            </a:r>
          </a:p>
        </xdr:txBody>
      </xdr:sp>
      <xdr:grpSp>
        <xdr:nvGrpSpPr>
          <xdr:cNvPr id="4" name="Group 3"/>
          <xdr:cNvGrpSpPr/>
        </xdr:nvGrpSpPr>
        <xdr:grpSpPr>
          <a:xfrm>
            <a:off x="4943474" y="15068549"/>
            <a:ext cx="1285877" cy="137160"/>
            <a:chOff x="4943474" y="15078074"/>
            <a:chExt cx="1285877" cy="137160"/>
          </a:xfrm>
        </xdr:grpSpPr>
        <xdr:cxnSp macro="">
          <xdr:nvCxnSpPr>
            <xdr:cNvPr id="6" name="Straight Connector 5"/>
            <xdr:cNvCxnSpPr/>
          </xdr:nvCxnSpPr>
          <xdr:spPr>
            <a:xfrm flipV="1">
              <a:off x="4953000" y="15106650"/>
              <a:ext cx="9525" cy="9144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/>
          </xdr:nvCxnSpPr>
          <xdr:spPr>
            <a:xfrm flipV="1">
              <a:off x="4943474" y="15211425"/>
              <a:ext cx="1280160" cy="1"/>
            </a:xfrm>
            <a:prstGeom prst="line">
              <a:avLst/>
            </a:prstGeom>
            <a:ln w="19050">
              <a:solidFill>
                <a:srgbClr val="FF0000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Arrow Connector 17"/>
            <xdr:cNvCxnSpPr/>
          </xdr:nvCxnSpPr>
          <xdr:spPr>
            <a:xfrm flipH="1" flipV="1">
              <a:off x="6219825" y="15078074"/>
              <a:ext cx="9526" cy="13716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stealth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276226</xdr:colOff>
      <xdr:row>8</xdr:row>
      <xdr:rowOff>285750</xdr:rowOff>
    </xdr:from>
    <xdr:ext cx="3962400" cy="279307"/>
    <xdr:sp macro="" textlink="">
      <xdr:nvSpPr>
        <xdr:cNvPr id="13" name="TextBox 12"/>
        <xdr:cNvSpPr txBox="1"/>
      </xdr:nvSpPr>
      <xdr:spPr>
        <a:xfrm>
          <a:off x="276226" y="2705100"/>
          <a:ext cx="3962400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781050</xdr:colOff>
      <xdr:row>10</xdr:row>
      <xdr:rowOff>276225</xdr:rowOff>
    </xdr:from>
    <xdr:ext cx="3962400" cy="279307"/>
    <xdr:sp macro="" textlink="">
      <xdr:nvSpPr>
        <xdr:cNvPr id="14" name="TextBox 13"/>
        <xdr:cNvSpPr txBox="1"/>
      </xdr:nvSpPr>
      <xdr:spPr>
        <a:xfrm>
          <a:off x="781050" y="3286125"/>
          <a:ext cx="3962400" cy="279307"/>
        </a:xfrm>
        <a:prstGeom prst="rect">
          <a:avLst/>
        </a:prstGeom>
        <a:solidFill>
          <a:srgbClr val="BDFFBD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หลักสูตรใหม่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ที่ยังไม่มีบัณฑิตในปีก่อนปีที่ประเมิน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12</xdr:row>
      <xdr:rowOff>276225</xdr:rowOff>
    </xdr:from>
    <xdr:ext cx="2924174" cy="279307"/>
    <xdr:sp macro="" textlink="">
      <xdr:nvSpPr>
        <xdr:cNvPr id="15" name="TextBox 14"/>
        <xdr:cNvSpPr txBox="1"/>
      </xdr:nvSpPr>
      <xdr:spPr>
        <a:xfrm>
          <a:off x="1762127" y="3876675"/>
          <a:ext cx="2924174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1762127</xdr:colOff>
      <xdr:row>14</xdr:row>
      <xdr:rowOff>276225</xdr:rowOff>
    </xdr:from>
    <xdr:ext cx="2924174" cy="279307"/>
    <xdr:sp macro="" textlink="">
      <xdr:nvSpPr>
        <xdr:cNvPr id="16" name="TextBox 15"/>
        <xdr:cNvSpPr txBox="1"/>
      </xdr:nvSpPr>
      <xdr:spPr>
        <a:xfrm>
          <a:off x="1762127" y="4467225"/>
          <a:ext cx="2924174" cy="279307"/>
        </a:xfrm>
        <a:prstGeom prst="rect">
          <a:avLst/>
        </a:prstGeom>
        <a:solidFill>
          <a:srgbClr val="E2F9FE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ไม่ต้องประเมิน</a:t>
          </a:r>
          <a:r>
            <a:rPr lang="en-US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หลักสูตรที่ไม่มีผู้สำเร็จการศึกษา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47625</xdr:colOff>
      <xdr:row>6</xdr:row>
      <xdr:rowOff>285750</xdr:rowOff>
    </xdr:from>
    <xdr:ext cx="3590925" cy="279307"/>
    <xdr:sp macro="" textlink="">
      <xdr:nvSpPr>
        <xdr:cNvPr id="17" name="TextBox 16"/>
        <xdr:cNvSpPr txBox="1"/>
      </xdr:nvSpPr>
      <xdr:spPr>
        <a:xfrm>
          <a:off x="47625" y="2114550"/>
          <a:ext cx="3590925" cy="279307"/>
        </a:xfrm>
        <a:prstGeom prst="rect">
          <a:avLst/>
        </a:prstGeom>
        <a:solidFill>
          <a:srgbClr val="F8FEB0"/>
        </a:solidFill>
        <a:ln w="190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576" tIns="9144" rIns="36576" bIns="9144" rtlCol="0" anchor="ctr">
          <a:spAutoFit/>
        </a:bodyPr>
        <a:lstStyle/>
        <a:p>
          <a:r>
            <a:rPr lang="th-TH" sz="18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เกณฑ์ข้อ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และข้อ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8</a:t>
          </a:r>
          <a:r>
            <a:rPr lang="th-TH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ถ้าไม่ได้ประเมิน ให้เคาะ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space bar</a:t>
          </a:r>
          <a:endParaRPr lang="en-US" sz="18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CW47"/>
  <sheetViews>
    <sheetView showGridLines="0" tabSelected="1" zoomScale="95" zoomScaleNormal="9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K2"/>
    </sheetView>
  </sheetViews>
  <sheetFormatPr defaultRowHeight="21" x14ac:dyDescent="0.35"/>
  <cols>
    <col min="1" max="1" width="75.42578125" style="36" customWidth="1"/>
    <col min="2" max="10" width="4" style="36" customWidth="1"/>
    <col min="11" max="11" width="17.85546875" style="36" customWidth="1"/>
    <col min="12" max="14" width="9.140625" style="36" customWidth="1"/>
    <col min="15" max="16" width="9.140625" style="36"/>
    <col min="17" max="78" width="9.140625" style="36" customWidth="1"/>
    <col min="79" max="101" width="9.140625" style="36" hidden="1" customWidth="1"/>
    <col min="102" max="102" width="9.140625" style="36" customWidth="1"/>
    <col min="103" max="16384" width="9.140625" style="36"/>
  </cols>
  <sheetData>
    <row r="1" spans="1:98" ht="26.25" x14ac:dyDescent="0.4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98" ht="26.25" x14ac:dyDescent="0.3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98" ht="26.25" x14ac:dyDescent="0.4">
      <c r="A3" s="1" t="s">
        <v>50</v>
      </c>
      <c r="B3" s="2"/>
      <c r="C3" s="101">
        <v>1</v>
      </c>
      <c r="D3" s="86"/>
      <c r="E3" s="3" t="s">
        <v>52</v>
      </c>
      <c r="G3" s="86"/>
      <c r="H3" s="86"/>
      <c r="K3" s="87"/>
      <c r="L3" s="62" t="str">
        <f>IF(AND(C3&lt;&gt;1,C3&lt;&gt;2,C3&lt;&gt;3),"ตัวเลขแทนระดับปริญญาต้องเป็น 1, 2, หรือ 3","")</f>
        <v/>
      </c>
    </row>
    <row r="4" spans="1:98" ht="23.25" x14ac:dyDescent="0.35">
      <c r="A4" s="119" t="s">
        <v>0</v>
      </c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3" t="s">
        <v>2</v>
      </c>
    </row>
    <row r="5" spans="1:98" x14ac:dyDescent="0.35">
      <c r="A5" s="120"/>
      <c r="B5" s="126" t="s">
        <v>3</v>
      </c>
      <c r="C5" s="127"/>
      <c r="D5" s="127"/>
      <c r="E5" s="127"/>
      <c r="F5" s="128"/>
      <c r="G5" s="129" t="s">
        <v>4</v>
      </c>
      <c r="H5" s="130"/>
      <c r="I5" s="130"/>
      <c r="J5" s="131"/>
      <c r="K5" s="124"/>
    </row>
    <row r="6" spans="1:98" x14ac:dyDescent="0.35">
      <c r="A6" s="121"/>
      <c r="B6" s="126" t="s">
        <v>5</v>
      </c>
      <c r="C6" s="127"/>
      <c r="D6" s="127"/>
      <c r="E6" s="127"/>
      <c r="F6" s="128"/>
      <c r="G6" s="132"/>
      <c r="H6" s="133"/>
      <c r="I6" s="133"/>
      <c r="J6" s="134"/>
      <c r="K6" s="125"/>
    </row>
    <row r="7" spans="1:98" ht="23.25" x14ac:dyDescent="0.35">
      <c r="A7" s="147" t="s">
        <v>6</v>
      </c>
      <c r="B7" s="4"/>
      <c r="C7" s="5"/>
      <c r="D7" s="6"/>
      <c r="E7" s="7"/>
      <c r="F7" s="8"/>
      <c r="G7" s="9"/>
      <c r="H7" s="10"/>
      <c r="I7" s="11"/>
      <c r="J7" s="12"/>
      <c r="K7" s="149" t="str">
        <f>IF(OR(A2="",C3=""),"",IF(AND(C3&lt;&gt;1,C3&lt;&gt;2,C3&lt;&gt;3),"Error",IF(AND(C3=1,OR(COUNTIF(D7:J7,"")&lt;&gt;7,B8&lt;&gt;"")),"Error",IF(AND(C3=1,COUNTIF(B7:C7,"Y")=2,COUNTIF(C8,"Y")=1),"ผ่าน",IF(AND(OR(C3=2,C3=3),OR(G7="",G7="Y",G7=" "),COUNTIF(H7,"Y")=1,OR(I7="",I7="Y",I7=" "),COUNTIF(J7,"Y")=1,COUNTIF(B7:F7,"Y")=5,OR(B8="",B8="Y",B8="N"),COUNTIF(C8,"Y")=1),"ผ่าน","ไม่ผ่าน")))))</f>
        <v/>
      </c>
      <c r="L7" s="13" t="str">
        <f>IF(AND(A2="",B7&lt;&gt;""),"ต้องใส่ชื่อหลักสูตร",IF(AND(C3="",B7&lt;&gt;""),"ต้องใส่เลขแทนระดับปริญญา",IF(AND(C3=1,K7="Error"),"ปริญญาตรีไม่ต้องประเมินเกณฑ์ข้อ 3 - เกณฑ์ข้อ 10","")))</f>
        <v/>
      </c>
      <c r="CA7" s="88" t="str">
        <f>IF(AND(OR(C3=2,C3=3),B7=""),"ใส่ผลประเมินเกณฑ์ข้อ 1",IF(OR(B7="Y",B7="N"),"","เกณฑ์ข้อ 1 ต้องใส่ Y หรือ N"))</f>
        <v>เกณฑ์ข้อ 1 ต้องใส่ Y หรือ N</v>
      </c>
      <c r="CB7" s="88" t="str">
        <f>IF(AND(OR(C3=2,C3=3),C7=""),"ใส่ผลประเมินเกณฑ์ข้อ 2",IF(OR(C7="Y",C7="N"),"","เกณฑ์ข้อ 2 ต้องใส่ Y หรือ N"))</f>
        <v>เกณฑ์ข้อ 2 ต้องใส่ Y หรือ N</v>
      </c>
      <c r="CC7" s="88" t="str">
        <f>IF(OR(C3=2,C3=3,D7=""),"","ปริญญาตรีไม่ต้องประเมินเกณฑ์ ข้อ 3")</f>
        <v/>
      </c>
      <c r="CD7" s="88" t="str">
        <f>IF(OR(C3=2,C3=3,E7=""),"","ปริญญาตรีไม่ต้องประเมินเกณฑ์ ข้อ 4")</f>
        <v/>
      </c>
      <c r="CE7" s="88" t="str">
        <f>IF(OR(C3=2,C3=3,F7=""),"","ปริญญาตรีไม่ต้องประเมินเกณฑ์ ข้อ 5")</f>
        <v/>
      </c>
      <c r="CF7" s="88" t="str">
        <f>IF(OR(C3=2,C3=3,G7=""),"","ปริญญาตรีไม่ต้องประเมินเกณฑ์ ข้อ 6")</f>
        <v/>
      </c>
      <c r="CG7" s="88" t="str">
        <f>IF(OR(C3=2,C3=3,H7=""),"","ปริญญาตรีไม่ต้องประเมินเกณฑ์ ข้อ 7")</f>
        <v/>
      </c>
      <c r="CH7" s="88" t="str">
        <f>IF(OR(C3=2,C3=3,I7=""),"","ปริญญาตรีไม่ต้องประเมินเกณฑ์ ข้อ 8")</f>
        <v/>
      </c>
      <c r="CI7" s="88" t="str">
        <f>IF(OR(C3=2,C3=3,J7=""),"","ปริญญาตรีไม่ต้องประเมินเกณฑ์ ข้อ 9")</f>
        <v/>
      </c>
      <c r="CJ7" s="88" t="str">
        <f>IF(OR(C3=2,C3=3,B8=""),"","ปริญญาตรีไม่ต้องประเมินเกณฑ์ ข้อ 10")</f>
        <v/>
      </c>
      <c r="CK7" s="88" t="str">
        <f>IF(AND(OR(C3=2,C3=3),C8=""),"ใส่ผลประเมินเกณฑ์ข้อ 11",IF(OR(C8="Y",C8="N"),"","เกณฑ์ข้อ 11 ต้องใส่ Y หรือ N"))</f>
        <v>เกณฑ์ข้อ 11 ต้องใส่ Y หรือ N</v>
      </c>
      <c r="CL7" s="14" t="str">
        <f>IF(AND(CA7="",CB7="",CC7="",CD7="",CE7="",CF7="",CG7="",CH7="",CI7="",CJ7="",CK7=""),"",IF(CA7&lt;&gt;"",CA7,IF(CB7&lt;&gt;"",CB7,IF(CC7&lt;&gt;"",CC7,IF(CD7&lt;&gt;"",CD7,IF(CE7&lt;&gt;"",CE7,IF(CF7&lt;&gt;"",CF7,IF(CG7&lt;&gt;"",CG7,IF(CH7&lt;&gt;"",CH7,IF(CI7&lt;&gt;"",CI7,IF(CJ7&lt;&gt;"",CJ7,IF(CK7&lt;&gt;"",CK7,"Error"))))))))))))</f>
        <v>เกณฑ์ข้อ 1 ต้องใส่ Y หรือ N</v>
      </c>
      <c r="CM7" s="72"/>
      <c r="CN7" s="72"/>
      <c r="CO7" s="72"/>
      <c r="CP7" s="72"/>
      <c r="CQ7" s="72"/>
      <c r="CR7" s="72"/>
      <c r="CS7" s="72"/>
      <c r="CT7" s="72"/>
    </row>
    <row r="8" spans="1:98" ht="23.25" x14ac:dyDescent="0.35">
      <c r="A8" s="148"/>
      <c r="B8" s="15"/>
      <c r="C8" s="16"/>
      <c r="D8" s="159" t="s">
        <v>51</v>
      </c>
      <c r="E8" s="159"/>
      <c r="F8" s="159"/>
      <c r="G8" s="159"/>
      <c r="H8" s="159"/>
      <c r="I8" s="159"/>
      <c r="J8" s="159"/>
      <c r="K8" s="150"/>
      <c r="L8" s="17" t="str">
        <f>IF(AND(A2="",COUNTIF(B7:J7,"")=9,COUNTIF(B8:C8,"")=2),"",IF(C3=1,CL7,IF(OR(C3=2,C3=3),CL8,"")))</f>
        <v/>
      </c>
      <c r="N8" s="18"/>
      <c r="CA8" s="88" t="str">
        <f>IF(AND(C3=1,B7=""),"ใส่ผลประเมินเกณฑ์ข้อ 1",IF(OR(B7="Y",B7="N"),"","เกณฑ์ข้อ 1 ต้องใส่ Y หรือ N"))</f>
        <v>ใส่ผลประเมินเกณฑ์ข้อ 1</v>
      </c>
      <c r="CB8" s="88" t="str">
        <f>IF(AND(C3=1,C7=""),"ใส่ผลประเมินเกณฑ์ข้อ 2",IF(OR(C7="Y",C7="N"),"","เกณฑ์ข้อ 2 ต้องใส่ Y หรือ N"))</f>
        <v>ใส่ผลประเมินเกณฑ์ข้อ 2</v>
      </c>
      <c r="CC8" s="88" t="str">
        <f>IF(AND(C3=1,D7=""),"ใส่ผลประเมินเกณฑ์ข้อ 3",IF(OR(D7="Y",D7="N"),"","เกณฑ์ข้อ 3 ต้องใส่ Y หรือ N"))</f>
        <v>ใส่ผลประเมินเกณฑ์ข้อ 3</v>
      </c>
      <c r="CD8" s="88" t="str">
        <f>IF(AND(C3=1,E7=""),"ใส่ผลประเมินเกณฑ์ข้อ 4",IF(OR(E7="Y",E7="N"),"","เกณฑ์ข้อ 4 ต้องใส่ Y หรือ N"))</f>
        <v>ใส่ผลประเมินเกณฑ์ข้อ 4</v>
      </c>
      <c r="CE8" s="88" t="str">
        <f>IF(AND(C3=1,F7=""),"ใส่ผลประเมินเกณฑ์ข้อ 5",IF(OR(F7="Y",F7="N"),"","เกณฑ์ข้อ 5 ต้องใส่ Y หรือ N"))</f>
        <v>ใส่ผลประเมินเกณฑ์ข้อ 5</v>
      </c>
      <c r="CF8" s="88" t="str">
        <f>IF(AND(C3=1,G7=""),"ถ้ามี อจ ที่ปรึกษาร่วม ให้ใส่ผลประเมินเกณฑ์ข้อ 6",IF(OR(G7="Y",G7="N",G7=" "),"","เกณฑ์ข้อ 6 ต้องใส่ Y หรือ N หรือเคาะ space bar"))</f>
        <v>ถ้ามี อจ ที่ปรึกษาร่วม ให้ใส่ผลประเมินเกณฑ์ข้อ 6</v>
      </c>
      <c r="CG8" s="88" t="str">
        <f>IF(AND(C3=1,H7=""),"ใส่ผลประเมินเกณฑ์ข้อ 7",IF(OR(H7="Y",H7="N"),"","เกณฑ์ข้อ 7 ต้องใส่ Y หรือ N"))</f>
        <v>ใส่ผลประเมินเกณฑ์ข้อ 7</v>
      </c>
      <c r="CH8" s="88" t="str">
        <f>IF(AND(C3=1,I7=""),"ใส่ผลประเมินเกณฑ์ข้อ 8",IF(OR(I7="Y",I7="N",I7=" "),"","เกณฑ์ข้อ 8 ต้องใส่ Y หรือ N หรือเคาะ space bar"))</f>
        <v>ใส่ผลประเมินเกณฑ์ข้อ 8</v>
      </c>
      <c r="CI8" s="88" t="str">
        <f>IF(AND(C3=1,J7=""),"ใส่ผลประเมินเกณฑ์ข้อ 9",IF(OR(J7="Y",J7="N"),"","เกณฑ์ข้อ 9 ต้องใส่ Y หรือ N"))</f>
        <v>ใส่ผลประเมินเกณฑ์ข้อ 9</v>
      </c>
      <c r="CJ8" s="88" t="str">
        <f>IF(AND(C3=1,B8=""),"ใส่ผลประเมินเกณฑ์ข้อ 10",IF(OR(B8="Y",B8="N"),"","เกณฑ์ข้อ 10 ต้องใส่ Y หรือ N"))</f>
        <v>ใส่ผลประเมินเกณฑ์ข้อ 10</v>
      </c>
      <c r="CK8" s="88" t="str">
        <f>IF(AND(C3=1,C8=""),"ใส่ผลประเมินเกณฑ์ข้อ 11",IF(OR(C8="Y",C8="N"),"","เกณฑ์ข้อ 11 ต้องใส่ Y หรือ N"))</f>
        <v>ใส่ผลประเมินเกณฑ์ข้อ 11</v>
      </c>
      <c r="CL8" s="14" t="str">
        <f>IF(AND(CA8="",CB8="",CC8="",CD8="",CE8="",CF8="",CG8="",CH8="",CI8="",CJ8="",CK8=""),"",IF(CA8&lt;&gt;"",CA8,IF(CB8&lt;&gt;"",CB8,IF(CC8&lt;&gt;"",CC8,IF(CD8&lt;&gt;"",CD8,IF(CE8&lt;&gt;"",CE8,IF(CF8&lt;&gt;"",CF8,IF(CG8&lt;&gt;"",CG8,IF(CH8&lt;&gt;"",CH8,IF(CI8&lt;&gt;"",CI8,IF(CJ8&lt;&gt;"",CJ8,IF(CK8&lt;&gt;"",CK8,"Error"))))))))))))</f>
        <v>ใส่ผลประเมินเกณฑ์ข้อ 1</v>
      </c>
      <c r="CM8" s="72"/>
      <c r="CN8" s="72"/>
      <c r="CO8" s="72"/>
      <c r="CP8" s="72"/>
      <c r="CQ8" s="72"/>
      <c r="CR8" s="72"/>
      <c r="CS8" s="72"/>
      <c r="CT8" s="72"/>
    </row>
    <row r="9" spans="1:98" ht="23.25" x14ac:dyDescent="0.35">
      <c r="A9" s="151" t="s">
        <v>7</v>
      </c>
      <c r="B9" s="166"/>
      <c r="C9" s="167"/>
      <c r="D9" s="160"/>
      <c r="E9" s="161"/>
      <c r="F9" s="162"/>
      <c r="G9" s="137" t="str">
        <f>IF(OR(D9="",D9&lt;0,D10="",D10&lt;0,D10&lt;&gt;ROUND(D10,0)),"","ร้อยละ")</f>
        <v/>
      </c>
      <c r="H9" s="138"/>
      <c r="I9" s="153" t="str">
        <f>IF(OR(D9="",D9&lt;0,D10="",D10&lt;0,D10&lt;&gt;ROUND(D10,0)),"",D10*100/B9)</f>
        <v/>
      </c>
      <c r="J9" s="154"/>
      <c r="K9" s="157" t="str">
        <f>IF(OR(AND(C3=1,B9&lt;&gt;"",B11&lt;&gt;"",B9&lt;&gt;B11),D9&lt;0,D10&lt;0,D10&lt;&gt;ROUND(D10,0)),"Error",IF(OR(D9="",D10=""),"",IF(AND(D9&lt;&gt;"",D10&lt;&gt;"",ROUND(D9/D10,2)&gt;5),"Error",IF(D10*100/B9&lt;20,0,ROUND(D9/D10,2)))))</f>
        <v/>
      </c>
      <c r="L9" s="13" t="str">
        <f>IF(D9&lt;0,"ผลรวมของค่าคะแนน ต้องไม่ติดลบ",IF(D10&lt;0,"จำนวนบัณฑิต ต้องไม่ติดลบ",IF(D10&lt;&gt;ROUND(D10,0),"จำนวนบัณฑิต ต้องไม่เป็นทศนิยม",IF(AND(C3=1,B11&lt;&gt;"",B9&lt;&gt;B11),"จำนวนบัณฑิตที่สำเร็จการศึกษาในปีก่อนปีที่ประเมิน ไม่เท่ากับ ตบช ที่ 2.2",IF(OR(D9="",D10=""),"",IF(ROUND(D9/D10,2)&gt;5,"คะแนนเฉลี่ย ต้องมีค่าไม่เกิน 5.00",""))))))</f>
        <v/>
      </c>
    </row>
    <row r="10" spans="1:98" ht="23.25" x14ac:dyDescent="0.35">
      <c r="A10" s="152"/>
      <c r="B10" s="168"/>
      <c r="C10" s="169"/>
      <c r="D10" s="163"/>
      <c r="E10" s="164"/>
      <c r="F10" s="165"/>
      <c r="G10" s="139"/>
      <c r="H10" s="140"/>
      <c r="I10" s="155"/>
      <c r="J10" s="156"/>
      <c r="K10" s="158"/>
      <c r="L10" s="61" t="str">
        <f>IF(AND(I9&lt;20,D9&lt;&gt;"",D10&lt;&gt;""),"จำนวนบัณฑิตที่รับการประเมินจากผู้ใช้บัณฑิตน้อยกว่าร้อยละ 20","")</f>
        <v/>
      </c>
    </row>
    <row r="11" spans="1:98" ht="23.25" x14ac:dyDescent="0.35">
      <c r="A11" s="135" t="s">
        <v>8</v>
      </c>
      <c r="B11" s="166"/>
      <c r="C11" s="167"/>
      <c r="D11" s="170"/>
      <c r="E11" s="171"/>
      <c r="F11" s="172"/>
      <c r="G11" s="137" t="str">
        <f>IF(OR(D11="",D11&lt;0,D11&lt;&gt;ROUND(D11,0),D12="",D12&lt;=0,D12&lt;&gt;ROUND(D12,0)),"","ร้อยละ")</f>
        <v/>
      </c>
      <c r="H11" s="138"/>
      <c r="I11" s="141" t="str">
        <f>IF(OR(D11="",D11&lt;0,D11&lt;&gt;ROUND(D11,0),D12="",D12&lt;=0,D12&lt;&gt;ROUND(D12,0)),"",IF(B11*100/D12&lt;70,0,ROUND(D11*100/D12,2)))</f>
        <v/>
      </c>
      <c r="J11" s="142"/>
      <c r="K11" s="145" t="str">
        <f>IF(C3&lt;&gt;1,"",IF(OR(D11&lt;0,D11&lt;&gt;ROUND(D11,0),D12&lt;0,D12&lt;&gt;ROUND(D12,0),AND(D11&lt;&gt;"",D12&lt;&gt;"",I11&gt;100),AND(C3=1,B9&lt;&gt;"",B11&lt;&gt;"",B9&lt;&gt;B11)),"Error",IF(OR(D11="",D12=""),"",IF(I11="","",IF(OR(D11="",D12=""),"",IF(D12*100/B11&lt;70,0,IF(ROUND(I11*5/100,2)&gt;5,5,ROUND(I11*5/100,2))))))))</f>
        <v/>
      </c>
      <c r="L11" s="19" t="str">
        <f>IF(AND(D11="",D12=""),"",IF(OR(D11&lt;0,D12&lt;0),"จำนวนบัณฑิต ต้องไม่ติดลบ",IF(OR(D11&lt;&gt;ROUND(D11,0),D12&lt;&gt;ROUND(D12,0)),"จำนวนบัณฑิต ต้องไม่เป็นทศนิยม",IF(D12=0,"ไม่มีผู้สำเร็จการศึกษา ไม่ต้องประเมินตัวบ่งชี้นี้",IF(I11="","",IF(I11&gt;100,"จำนวนบัณฑิตที่ได้งานทำ ต้องไม่มากกว่าบัณฑิตที่ตอบแบบสำรวจทั้งหมด",IF(AND(C3=1,B9&lt;&gt;"",B9&lt;&gt;B11),"จำนวนบัณฑิตที่สำเร็จการศึกษาในปีก่อนปีที่ประเมิน ไม่เท่ากับ ตบช ที่ 2.1","")))))))</f>
        <v/>
      </c>
      <c r="M11" s="20"/>
      <c r="N11" s="20"/>
      <c r="O11" s="20"/>
      <c r="P11" s="89"/>
      <c r="Q11" s="89"/>
      <c r="R11" s="89"/>
      <c r="S11" s="89"/>
      <c r="T11" s="89"/>
      <c r="U11" s="90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3"/>
      <c r="BJ11" s="93"/>
      <c r="CA11" s="92"/>
      <c r="CB11" s="92"/>
      <c r="CC11" s="92"/>
      <c r="CD11" s="92"/>
    </row>
    <row r="12" spans="1:98" ht="23.25" x14ac:dyDescent="0.35">
      <c r="A12" s="136"/>
      <c r="B12" s="168"/>
      <c r="C12" s="169"/>
      <c r="D12" s="185"/>
      <c r="E12" s="186"/>
      <c r="F12" s="187"/>
      <c r="G12" s="139"/>
      <c r="H12" s="140"/>
      <c r="I12" s="143"/>
      <c r="J12" s="144"/>
      <c r="K12" s="146"/>
      <c r="L12" s="21" t="str">
        <f>IF(D12=0,"",IF(AND(C3=2,I11&lt;&gt;"",K11=""),"ไม่ต้องประเมินตัวบ่งชี้นี้ในหลักสูตรระดับปริญญาโท",IF(AND(C3=3,I11&lt;&gt;"",K11=""),"ไม่ต้องประเมินตัวบ่งชี้นี้ในหลักสูตรระดับปริญญาเอก",IF(AND(D12*100/B11&lt;70,D11&lt;&gt;"",D12&lt;&gt;""),"จำนวนบัณฑิตที่รับการประเมินจากผู้ใช้บัณฑิตน้อยกว่าร้อยละ 70",""))))</f>
        <v/>
      </c>
      <c r="M12" s="20"/>
      <c r="N12" s="20"/>
      <c r="O12" s="20"/>
      <c r="P12" s="89"/>
      <c r="Q12" s="89"/>
      <c r="R12" s="89"/>
      <c r="S12" s="89"/>
      <c r="T12" s="89"/>
      <c r="U12" s="90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93"/>
      <c r="CA12" s="92"/>
      <c r="CB12" s="92"/>
      <c r="CC12" s="92"/>
      <c r="CD12" s="92"/>
    </row>
    <row r="13" spans="1:98" ht="23.25" x14ac:dyDescent="0.35">
      <c r="A13" s="147" t="s">
        <v>9</v>
      </c>
      <c r="B13" s="184"/>
      <c r="C13" s="184"/>
      <c r="D13" s="184"/>
      <c r="E13" s="184"/>
      <c r="F13" s="184"/>
      <c r="G13" s="175" t="str">
        <f>IF(OR(B13="",B13&lt;0,B14="",B14&lt;=0,B14&lt;&gt;ROUND(B14,0)),"","ร้อยละ")</f>
        <v/>
      </c>
      <c r="H13" s="176"/>
      <c r="I13" s="179" t="str">
        <f>IF(OR(B13="",B13&lt;0,B14="",B14&lt;=0,B14&lt;&gt;ROUND(B14,0)),"",ROUNDDOWN(B13*100/B14,2))</f>
        <v/>
      </c>
      <c r="J13" s="180"/>
      <c r="K13" s="145" t="str">
        <f>IF(C3&lt;&gt;2,"",IF(OR(B13="",B14=""),"",IF(OR(B13&lt;0,B14&lt;=0,B14&lt;&gt;ROUND(B14,0)),"Error",IF(ROUNDDOWN(I13*5/40,2)&gt;5,5,ROUNDDOWN(I13*5/40,2)))))</f>
        <v/>
      </c>
      <c r="L13" s="19" t="str">
        <f>IF(OR(B13="",B14=""),"",(IF(B13&lt;0,"ผลรวมถ่วงน้ำหนัก ต้องไม่ติดลบ",IF(B14&lt;0,"จำนวนผู้สำเร็จ ต้องไม่ติดลบ",IF(B14&lt;&gt;ROUND(B14,0),"จำนวนผู้สำเร็จ ต้องไม่เป็นทศนิยม",IF(B14=0,"ไม่มีผู้สำเร็จการศึกษา ไม่ต้องประเมินตัวบ่งชี้นี้",""))))))</f>
        <v/>
      </c>
      <c r="M13" s="20"/>
      <c r="N13" s="20"/>
      <c r="O13" s="20"/>
      <c r="P13" s="89"/>
      <c r="Q13" s="89"/>
      <c r="R13" s="89"/>
      <c r="S13" s="89"/>
      <c r="T13" s="89"/>
      <c r="U13" s="90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J13" s="93"/>
      <c r="CA13" s="92"/>
      <c r="CB13" s="92"/>
      <c r="CC13" s="92"/>
      <c r="CD13" s="92"/>
    </row>
    <row r="14" spans="1:98" ht="23.25" x14ac:dyDescent="0.35">
      <c r="A14" s="173"/>
      <c r="B14" s="183"/>
      <c r="C14" s="183"/>
      <c r="D14" s="183"/>
      <c r="E14" s="183"/>
      <c r="F14" s="183"/>
      <c r="G14" s="177"/>
      <c r="H14" s="178"/>
      <c r="I14" s="181"/>
      <c r="J14" s="182"/>
      <c r="K14" s="146"/>
      <c r="L14" s="21" t="str">
        <f>IF(B14=0,"",IF(AND($C$3=1,I13&lt;&gt;"",K13=""),"ไม่ต้องประเมินตัวบ่งชี้นี้ในหลักสูตรระดับปริญญาตรี",IF(AND($C$3=3,I13&lt;&gt;"",K13=""),"ไม่ต้องประเมินตัวบ่งชี้นี้ในหลักสูตรระดับปริญญาเอก","")))</f>
        <v/>
      </c>
      <c r="M14" s="20"/>
      <c r="N14" s="20"/>
      <c r="O14" s="22"/>
      <c r="P14" s="94"/>
      <c r="Q14" s="89"/>
      <c r="R14" s="89"/>
      <c r="S14" s="89"/>
      <c r="T14" s="89"/>
      <c r="U14" s="90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3"/>
      <c r="CB14" s="36" t="str">
        <f>IF(OR(B7="Y",B7="N"),"","เกณฑ์ข้อ 1 ต้องใส่ Y หรือ N")</f>
        <v>เกณฑ์ข้อ 1 ต้องใส่ Y หรือ N</v>
      </c>
    </row>
    <row r="15" spans="1:98" ht="23.25" x14ac:dyDescent="0.35">
      <c r="A15" s="147" t="s">
        <v>10</v>
      </c>
      <c r="B15" s="174"/>
      <c r="C15" s="174"/>
      <c r="D15" s="174"/>
      <c r="E15" s="174"/>
      <c r="F15" s="174"/>
      <c r="G15" s="175" t="str">
        <f>IF(OR(B15="",B16&lt;=0,B16="",B16&lt;&gt;ROUND(B16,0)),"","ร้อยละ")</f>
        <v/>
      </c>
      <c r="H15" s="176"/>
      <c r="I15" s="179" t="str">
        <f>IF(OR(B15="",B16&lt;=0,B16="",B16&lt;&gt;ROUND(B16,0)),"",IF(B16=0,0,ROUNDDOWN(B15*100/B16,2)))</f>
        <v/>
      </c>
      <c r="J15" s="180"/>
      <c r="K15" s="145" t="str">
        <f>IF(C3&lt;&gt;3,"",IF(OR(B15="",B16=""),"",IF(OR(B15&lt;0,B16&lt;=0,B16&lt;&gt;ROUND(B16,0)),"Error",IF(ROUNDDOWN(I15*5/80,2)&gt;5,5,ROUNDDOWN(I15*5/80,2)))))</f>
        <v/>
      </c>
      <c r="L15" s="19" t="str">
        <f>IF(OR(B15="",B16=""),"",IF(B15&lt;0,"ผลรวมถ่วงน้ำหนัก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</f>
        <v/>
      </c>
      <c r="M15" s="20"/>
      <c r="N15" s="20"/>
      <c r="O15" s="23"/>
      <c r="P15" s="89"/>
      <c r="Q15" s="89"/>
      <c r="R15" s="89"/>
      <c r="S15" s="89"/>
      <c r="T15" s="89"/>
      <c r="U15" s="90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3"/>
      <c r="BJ15" s="93"/>
    </row>
    <row r="16" spans="1:98" ht="23.25" x14ac:dyDescent="0.35">
      <c r="A16" s="173"/>
      <c r="B16" s="183"/>
      <c r="C16" s="183"/>
      <c r="D16" s="183"/>
      <c r="E16" s="183"/>
      <c r="F16" s="183"/>
      <c r="G16" s="177"/>
      <c r="H16" s="178"/>
      <c r="I16" s="181"/>
      <c r="J16" s="182"/>
      <c r="K16" s="146"/>
      <c r="L16" s="21" t="str">
        <f>IF(B16=0,"",IF(AND($C$3=1,I15&lt;&gt;"",K15=""),"ไม่ต้องประเมินตัวบ่งชี้นี้ในหลักสูตรระดับปริญญาตรี",IF(AND($C$3=2,I15&lt;&gt;"",K15=""),"ไม่ต้องประเมินตัวบ่งชี้นี้ในหลักสูตรระดับปริญญาโท","")))</f>
        <v/>
      </c>
      <c r="M16" s="20"/>
      <c r="N16" s="20"/>
      <c r="O16" s="20"/>
      <c r="P16" s="89"/>
      <c r="Q16" s="89"/>
      <c r="R16" s="89"/>
      <c r="S16" s="89"/>
      <c r="T16" s="89"/>
      <c r="U16" s="90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93"/>
    </row>
    <row r="17" spans="1:13" ht="39.950000000000003" customHeight="1" x14ac:dyDescent="0.35">
      <c r="A17" s="79" t="s">
        <v>11</v>
      </c>
      <c r="B17" s="196"/>
      <c r="C17" s="196"/>
      <c r="D17" s="196"/>
      <c r="E17" s="196"/>
      <c r="F17" s="196"/>
      <c r="G17" s="196"/>
      <c r="H17" s="196"/>
      <c r="I17" s="196"/>
      <c r="J17" s="24"/>
      <c r="K17" s="25" t="str">
        <f>IF(J17="","",IF(OR(J17&lt;0,J17&lt;&gt;ROUND(J17,0),J17&gt;5),"Error",J17))</f>
        <v/>
      </c>
      <c r="L17" s="26" t="str">
        <f>IF(J17="","",(IF(J17&lt;0,"ตะแนนต้องไม่ติดลบ",IF(J17&lt;&gt;ROUND(J17,0),"คะแนนต้องไม่เป็นทศนิยม",IF(J17&gt;5,"คะแนนต้องไม่มากกว่า 5","")))))</f>
        <v/>
      </c>
    </row>
    <row r="18" spans="1:13" ht="39.950000000000003" customHeight="1" x14ac:dyDescent="0.35">
      <c r="A18" s="79" t="s">
        <v>12</v>
      </c>
      <c r="B18" s="196"/>
      <c r="C18" s="196"/>
      <c r="D18" s="196"/>
      <c r="E18" s="196"/>
      <c r="F18" s="196"/>
      <c r="G18" s="196"/>
      <c r="H18" s="196"/>
      <c r="I18" s="196"/>
      <c r="J18" s="24"/>
      <c r="K18" s="25" t="str">
        <f>IF(J18="","",IF(OR(J18&lt;0,J18&lt;&gt;ROUND(J18,0),J18&gt;5),"Error",J18))</f>
        <v/>
      </c>
      <c r="L18" s="26" t="str">
        <f>IF(J18="","",(IF(J18&lt;0,"ตะแนนต้องไม่ติดลบ",IF(J18&lt;&gt;ROUND(J18,0),"คะแนนต้องไม่เป็นทศนิยม",IF(J18&gt;5,"คะแนนต้องไม่มากกว่า 5","")))))</f>
        <v/>
      </c>
    </row>
    <row r="19" spans="1:13" ht="39.950000000000003" customHeight="1" x14ac:dyDescent="0.35">
      <c r="A19" s="79" t="s">
        <v>13</v>
      </c>
      <c r="B19" s="196"/>
      <c r="C19" s="196"/>
      <c r="D19" s="196"/>
      <c r="E19" s="196"/>
      <c r="F19" s="196"/>
      <c r="G19" s="196"/>
      <c r="H19" s="196"/>
      <c r="I19" s="196"/>
      <c r="J19" s="24"/>
      <c r="K19" s="25" t="str">
        <f>IF(J19="","",IF(OR(J19&lt;0,J19&lt;&gt;ROUND(J19,0),J19&gt;5),"Error",J19))</f>
        <v/>
      </c>
      <c r="L19" s="26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13" ht="39.950000000000003" customHeight="1" x14ac:dyDescent="0.35">
      <c r="A20" s="79" t="s">
        <v>14</v>
      </c>
      <c r="B20" s="196"/>
      <c r="C20" s="196"/>
      <c r="D20" s="196"/>
      <c r="E20" s="196"/>
      <c r="F20" s="196"/>
      <c r="G20" s="196"/>
      <c r="H20" s="196"/>
      <c r="I20" s="196"/>
      <c r="J20" s="24"/>
      <c r="K20" s="25" t="str">
        <f>IF(J20="","",IF(OR(J20&lt;0,J20&lt;&gt;ROUND(J20,0),J20&gt;5),"Error",J20))</f>
        <v/>
      </c>
      <c r="L20" s="26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13" ht="23.25" customHeight="1" x14ac:dyDescent="0.35">
      <c r="A21" s="80" t="s">
        <v>15</v>
      </c>
      <c r="B21" s="197" t="str">
        <f>IF(AND(B22="",B23="",B24="",D22="",D23="",D24=""),"",IF($C$3=2,"ไม่ต้องประเมินตัวบ่งชี้นี้ในหลักสูตรระดับปริญญาโท",IF($C$3=3,"ไม่ต้องประเมินตัวบ่งชี้นี้ในหลักสูตรระดับปริญญาเอก","")))</f>
        <v/>
      </c>
      <c r="C21" s="198"/>
      <c r="D21" s="198"/>
      <c r="E21" s="198"/>
      <c r="F21" s="198"/>
      <c r="G21" s="198"/>
      <c r="H21" s="198"/>
      <c r="I21" s="198"/>
      <c r="J21" s="198"/>
      <c r="K21" s="199"/>
      <c r="L21" s="13" t="str">
        <f>IF(AND(D22="",D23="",D24=""),"",IF(I22="","ไม่มีผลลัพธ์ อาจารย์ประจำหลักสูตรที่มีคุณวุฒิปริญญาเอก",IF(I23="","ไม่มีผลลัพธ์ อาจารย์ประจำหลักสูตรที่ดำรงตำแหน่งทางวิชาการ",IF(I24="","ไม่มีผลลัพธ์ ผลงานทางวิชาการของอาจารย์ประจำหลักสูตร",IF(OR(D22&lt;&gt;D23,D22&lt;&gt;D24),"จำนวนอาจารย์ประจำหลักสูตร ต้องเท่ากัน","")))))</f>
        <v/>
      </c>
      <c r="M21" s="27"/>
    </row>
    <row r="22" spans="1:13" ht="28.5" x14ac:dyDescent="0.35">
      <c r="A22" s="81" t="s">
        <v>55</v>
      </c>
      <c r="B22" s="188"/>
      <c r="C22" s="189"/>
      <c r="D22" s="28"/>
      <c r="E22" s="190" t="str">
        <f>IF(OR(B22="",B22&lt;0,D22="",D22&lt;=0),"","ร้อยละ")</f>
        <v/>
      </c>
      <c r="F22" s="152"/>
      <c r="G22" s="191" t="str">
        <f>IF(OR(B22="",B22&lt;0,D22="",D22&lt;=0),"",B22*100/D22)</f>
        <v/>
      </c>
      <c r="H22" s="152"/>
      <c r="I22" s="192" t="str">
        <f>IF(OR(B22="",D22=""),"",IF(OR(B22&lt;0,D22&lt;=0,AND(G22="",G22&lt;0,G22&gt;100)),"Error",IF(G22="","",IF(ROUND(G22*5/20,2)&gt;5,5,ROUND(G22*5/20,2)))))</f>
        <v/>
      </c>
      <c r="J22" s="193"/>
      <c r="K22" s="200" t="str">
        <f>IF(C3&lt;&gt;1,"",IF(OR(D22&lt;&gt;D23,D22&lt;&gt;D24),"Error",IF(OR(I22="",I22="Error",I23="",I23="Error",I24="",I24="Error"),"",ROUND(SUM(I22,I23,I24)/3,2))))</f>
        <v/>
      </c>
      <c r="L22" s="29" t="str">
        <f>IF(B22&lt;0,"จำนวนอาจารย์ประจำหลักสูตรคุณวุฒิปริญญาเอก ต้องไม่ติดลบ",IF(D22&lt;0,"จำนวนอาจารย์ประจำหลักสูตรทั้งหมด ต้องไม่ติดลบ",IF(AND(B22="",D22=""),"",IF(G22="","",IF(G22&gt;100,"ค่าร้อยละต้องไม่เกิน 100","")))))</f>
        <v/>
      </c>
    </row>
    <row r="23" spans="1:13" ht="28.5" x14ac:dyDescent="0.35">
      <c r="A23" s="82" t="s">
        <v>56</v>
      </c>
      <c r="B23" s="188"/>
      <c r="C23" s="189"/>
      <c r="D23" s="28"/>
      <c r="E23" s="190" t="str">
        <f>IF(OR(B23="",B23&lt;0,D23="",D23&lt;=0),"","ร้อยละ")</f>
        <v/>
      </c>
      <c r="F23" s="152"/>
      <c r="G23" s="191" t="str">
        <f>IF(OR(B23="",B23&lt;0,D23="",D23&lt;=0),"",B23*100/D23)</f>
        <v/>
      </c>
      <c r="H23" s="152"/>
      <c r="I23" s="192" t="str">
        <f>IF(OR(B23="",D23=""),"",IF(OR(B23&lt;0,D23&lt;=0,AND(G23="",G23&lt;0,G23&gt;100)),"Error",IF(G23="","",IF(ROUND(G23*5/60,2)&gt;5,5,ROUND(G23*5/60,2)))))</f>
        <v/>
      </c>
      <c r="J23" s="193"/>
      <c r="K23" s="201"/>
      <c r="L23" s="29" t="str">
        <f>IF(B23&lt;0,"จำนวนอาจารย์ประจำหลักสูตรคุณวุฒิปริญญาเอก ต้องไม่ติดลบ",IF(D23&lt;0,"จำนวนอาจารย์ประจำหลักสูตรทั้งหมด ต้องไม่ติดลบ",IF(AND(B23="",D23=""),"",IF(G23="","",IF(G23&gt;100,"ค่าร้อยละต้องไม่เกิน 100","")))))</f>
        <v/>
      </c>
    </row>
    <row r="24" spans="1:13" ht="28.5" x14ac:dyDescent="0.35">
      <c r="A24" s="83" t="s">
        <v>16</v>
      </c>
      <c r="B24" s="194"/>
      <c r="C24" s="195"/>
      <c r="D24" s="28"/>
      <c r="E24" s="190" t="str">
        <f>IF(OR(B24="",B24&lt;0,D24="",D24&lt;=0),"","ร้อยละ")</f>
        <v/>
      </c>
      <c r="F24" s="152"/>
      <c r="G24" s="191" t="str">
        <f>IF(OR(B24="",B24&lt;0,D24="",D24&lt;=0),"",B24*100/D24)</f>
        <v/>
      </c>
      <c r="H24" s="152"/>
      <c r="I24" s="192" t="str">
        <f>IF(OR(B24="",D24=""),"",IF(OR(B24&lt;0,D24&lt;=0),"Error",IF(G24="","",IF(ROUND(G24*5/20,2)&gt;5,5,ROUND(G24*5/20,2)))))</f>
        <v/>
      </c>
      <c r="J24" s="193"/>
      <c r="K24" s="202"/>
      <c r="L24" s="29" t="str">
        <f>IF(OR(B24="",D24=""),"",IF(B24&lt;0,"ผลรวมถ่วงน้ำหนัก ต้องไม่ติดลบ",IF(D24&lt;0,"จำนวนอาจารย์ประจำหลักสูตรทั้งหมด ต้องไม่ติดลบ","")))</f>
        <v/>
      </c>
    </row>
    <row r="25" spans="1:13" ht="23.25" customHeight="1" x14ac:dyDescent="0.35">
      <c r="A25" s="80" t="s">
        <v>17</v>
      </c>
      <c r="B25" s="203" t="str">
        <f>IF(AND(B26="",B27="",B28="",D26="",D27="",D28=""),"",IF($C$3=1,"ไม่ต้องประเมินตัวบ่งชี้นี้ในหลักสูตรระดับปริญญาตรี",IF($C$3=3,"ไม่ต้องประเมินตัวบ่งชี้นี้ในหลักสูตรระดับปริญญาเอก","")))</f>
        <v/>
      </c>
      <c r="C25" s="204"/>
      <c r="D25" s="204"/>
      <c r="E25" s="204"/>
      <c r="F25" s="204"/>
      <c r="G25" s="204"/>
      <c r="H25" s="204"/>
      <c r="I25" s="204"/>
      <c r="J25" s="204"/>
      <c r="K25" s="205"/>
      <c r="L25" s="13" t="str">
        <f>IF(AND(D26="",D27="",D28=""),"",IF(I26="","ไม่มีผลลัพธ์ อาจารย์ประจำหลักสูตรที่มีคุณวุฒิปริญญาเอก",IF(I27="","ไม่มีผลลัพธ์ อาจารย์ประจำหลักสูตรที่ดำรงตำแหน่งทางวิชาการ",IF(I28="","ไม่มีผลลัพธ์ ผลงานทางวิชาการของอาจารย์ประจำหลักสูตร",IF(OR(D26&lt;&gt;D27,D26&lt;&gt;D28),"จำนวนอาจารย์ประจำหลักสูตร ต้องเท่ากัน","")))))</f>
        <v/>
      </c>
    </row>
    <row r="26" spans="1:13" ht="28.5" x14ac:dyDescent="0.35">
      <c r="A26" s="81" t="s">
        <v>57</v>
      </c>
      <c r="B26" s="188"/>
      <c r="C26" s="189"/>
      <c r="D26" s="28"/>
      <c r="E26" s="190" t="str">
        <f>IF(OR(B26="",B26&lt;0,D26="",D26&lt;=0),"","ร้อยละ")</f>
        <v/>
      </c>
      <c r="F26" s="152"/>
      <c r="G26" s="191" t="str">
        <f>IF(OR(B26="",B26&lt;0,D26="",D26&lt;=0),"",B26*100/D26)</f>
        <v/>
      </c>
      <c r="H26" s="152"/>
      <c r="I26" s="192" t="str">
        <f>IF(OR(B26="",D26=""),"",IF(OR(B26&lt;0,D26&lt;=0,AND(G26="",G26&lt;0,G26&gt;100)),"Error",IF(G26="","",IF(ROUND(G26*5/60,2)&gt;5,5,ROUND(G26*5/60,2)))))</f>
        <v/>
      </c>
      <c r="J26" s="193"/>
      <c r="K26" s="200" t="str">
        <f>IF(C3&lt;&gt;2,"",IF(OR(I26="",I26="Error",I27="",I27="Error",I28="",I28="Error"),"",IF(OR(D26&lt;&gt;D27,D26&lt;&gt;D28),"Error",ROUND(SUM(I26,I27,I28)/3,2))))</f>
        <v/>
      </c>
      <c r="L26" s="29" t="str">
        <f>IF(B26&lt;0,"จำนวนอาจารย์ประจำหลักสูตรคุณวุฒิปริญญาเอก ต้องไม่ติดลบ",IF(D26&lt;0,"จำนวนอาจารย์ประจำหลักสูตรทั้งหมด ต้องไม่ติดลบ",IF(B26&lt;&gt;ROUND(B26,0),"จำนวนอาจารย์ประจำหลักสูตร ต้องไม่เป็นทศนิยม",IF(AND(B26="",D26=""),"",IF(G26="","",IF(G26&gt;100,"ค่าร้อยละต้องไม่เกิน 100",""))))))</f>
        <v/>
      </c>
    </row>
    <row r="27" spans="1:13" ht="28.5" x14ac:dyDescent="0.35">
      <c r="A27" s="82" t="s">
        <v>58</v>
      </c>
      <c r="B27" s="188"/>
      <c r="C27" s="189"/>
      <c r="D27" s="28"/>
      <c r="E27" s="190" t="str">
        <f>IF(OR(B27="",B27&lt;0,D27="",D27&lt;=0),"","ร้อยละ")</f>
        <v/>
      </c>
      <c r="F27" s="152"/>
      <c r="G27" s="191" t="str">
        <f>IF(OR(B27="",B27&lt;0,D27="",D27&lt;=0),"",B27*100/D27)</f>
        <v/>
      </c>
      <c r="H27" s="152"/>
      <c r="I27" s="192" t="str">
        <f>IF(OR(B27="",D27=""),"",IF(OR(B27&lt;0,D27&lt;=0,AND(G27="",G27&lt;0,G27&gt;100)),"Error",IF(G27="","",IF(ROUND(G27*5/80,2)&gt;5,5,ROUND(G27*5/80,2)))))</f>
        <v/>
      </c>
      <c r="J27" s="193"/>
      <c r="K27" s="201"/>
      <c r="L27" s="29" t="str">
        <f>IF(B27&lt;0,"จำนวนอาจารย์ประจำหลักสูตรคุณวุฒิปริญญาเอก ต้องไม่ติดลบ",IF(D27&lt;0,"จำนวนอาจารย์ประจำหลักสูตรทั้งหมด ต้องไม่ติดลบ",IF(B27&lt;&gt;ROUND(B27,0),"จำนวนอาจารย์ประจำหลักสูตร ต้องไม่เป็นทศนิยม",IF(AND(B27="",D27=""),"",IF(G27="","",IF(G27&gt;100,"ค่าร้อยละต้องไม่เกิน 100",""))))))</f>
        <v/>
      </c>
    </row>
    <row r="28" spans="1:13" ht="28.5" x14ac:dyDescent="0.35">
      <c r="A28" s="84" t="s">
        <v>18</v>
      </c>
      <c r="B28" s="194"/>
      <c r="C28" s="195"/>
      <c r="D28" s="28"/>
      <c r="E28" s="190" t="str">
        <f>IF(OR(B28="",B28&lt;0,D28="",D28&lt;=0),"","ร้อยละ")</f>
        <v/>
      </c>
      <c r="F28" s="152"/>
      <c r="G28" s="191" t="str">
        <f>IF(OR(B28="",B28&lt;0,D28="",D28&lt;=0),"",B28*100/D28)</f>
        <v/>
      </c>
      <c r="H28" s="152"/>
      <c r="I28" s="192" t="str">
        <f>IF(OR(B28="",D28=""),"",IF(OR(B28&lt;0,D28&lt;=0),"Error",IF(G28="","",IF(ROUND(G28*5/40,2)&gt;5,5,ROUND(G28*5/40,2)))))</f>
        <v/>
      </c>
      <c r="J28" s="193"/>
      <c r="K28" s="202"/>
      <c r="L28" s="29" t="str">
        <f>IF(OR(B28="",D28=""),"",IF(B28&lt;0,"ผลรวมถ่วงน้ำหนัก ต้องไม่ติดลบ",IF(D28&lt;0,"จำนวนอาจารย์ประจำหลักสูตรทั้งหมด ต้องไม่ติดลบ","")))</f>
        <v/>
      </c>
    </row>
    <row r="29" spans="1:13" ht="23.25" customHeight="1" x14ac:dyDescent="0.35">
      <c r="A29" s="80" t="s">
        <v>19</v>
      </c>
      <c r="B29" s="203" t="str">
        <f>IF(AND(B30="",B31="",B32="",F33="",F34="",F35="",D30="",D31="",D32="",H33="",H34="",H35),"",IF($C$3=1,"ไม่ต้องประเมินตัวบ่งชี้นี้ในหลักสูตรระดับปริญญาตรี",IF($C$3=2,"ไม่ต้องประเมินตัวบ่งชี้นี้ในหลักสูตรระดับปริญญาโท","")))</f>
        <v/>
      </c>
      <c r="C29" s="204"/>
      <c r="D29" s="204"/>
      <c r="E29" s="204"/>
      <c r="F29" s="204"/>
      <c r="G29" s="204"/>
      <c r="H29" s="204"/>
      <c r="I29" s="204"/>
      <c r="J29" s="204"/>
      <c r="K29" s="205"/>
      <c r="L29" s="13" t="str">
        <f>IF(AND(D30="",D31="",D32=""),"",IF(I30="","ไม่มีผลลัพธ์ อาจารย์ประจำหลักสูตรที่มีคุณวุฒิปริญญาเอก",IF(I31="","ไม่มีผลลัพธ์ อาจารย์ประจำหลักสูตรที่ดำรงตำแหน่งทางวิชาการ",IF(I32="","ไม่มีผลลัพธ์ ผลงานทางวิชาการของอาจารย์ประจำหลักสูตร",IF(AND(I33="",I34="",I35=""),"ไม่มีผลลัพธ์ การอ้างอิงในฐานข้อมูล TCI และ SCOPUS ต่ออาจารย์ประจำหลักสูตร",IF(OR(D30&lt;&gt;D31,D30&lt;&gt;D32,AND(H33&lt;&gt;"",D30&lt;&gt;H33),AND(H34&lt;&gt;"",D30&lt;&gt;H34),AND(H35&lt;&gt;"",D30&lt;&gt;H35)),"จำนวนอาจารย์ประจำหลักสูตร ต้องเท่ากัน",""))))))</f>
        <v/>
      </c>
    </row>
    <row r="30" spans="1:13" ht="28.5" x14ac:dyDescent="0.35">
      <c r="A30" s="81" t="s">
        <v>59</v>
      </c>
      <c r="B30" s="188"/>
      <c r="C30" s="189"/>
      <c r="D30" s="28"/>
      <c r="E30" s="190" t="str">
        <f t="shared" ref="E30:E31" si="0">IF(OR(B30="",B30&lt;0,D30="",D30&lt;=0,),"","ร้อยละ")</f>
        <v/>
      </c>
      <c r="F30" s="152"/>
      <c r="G30" s="191" t="str">
        <f t="shared" ref="G30:G31" si="1">IF(OR(B30="",B30&lt;0,D30="",D30&lt;=0,),"",B30*100/D30)</f>
        <v/>
      </c>
      <c r="H30" s="152"/>
      <c r="I30" s="192" t="str">
        <f>IF(OR(B30="",D30=""),"",IF(OR(B30&lt;0,D30&lt;0,AND(G30="",G30&lt;0,G30&gt;100)),"Error",IF(G30="","",IF(ROUND(G30*5/100,2)&gt;5,5,ROUND(G30*5/100,2)))))</f>
        <v/>
      </c>
      <c r="J30" s="206"/>
      <c r="K30" s="200" t="str">
        <f>IF(C3&lt;&gt;3,"",IF(OR(I30="",I30="Error",I31="",I31="Error",I33="Error",I34="Error",I35="Error",AND(I33="",I34="",I35="",I35="")),"",IF(OR(D30&lt;&gt;D31,D30&lt;&gt;D32,AND(H33&lt;&gt;"",D30&lt;&gt;H33),AND(H34&lt;&gt;"",D30&lt;&gt;H34),AND(H35&lt;&gt;"",D30&lt;&gt;H35)),"Error",ROUND(SUM(I30,I31,I32,SUM(I33,I34,I35)/COUNT(I33,I34,I35))/4,2))))</f>
        <v/>
      </c>
      <c r="L30" s="29" t="str">
        <f>IF(B30&lt;0,"จำนวนอาจารย์ประจำหลักสูตรคุณวุฒิปริญญาเอก ต้องไม่ติดลบ",IF(D30&lt;0,"จำนวนอาจารย์ประจำหลักสูตรทั้งหมด ต้องไม่ติดลบ",IF(B30&lt;&gt;ROUND(B30,0),"จำนวนอาจารย์ประจำหลักสูตร ต้องไม่เป็นทศนิยม",IF(AND(B30="",D30=""),"",IF(G30="","",IF(G30&gt;100,"ค่าร้อยละต้องไม่เกิน 100",""))))))</f>
        <v/>
      </c>
    </row>
    <row r="31" spans="1:13" ht="28.5" x14ac:dyDescent="0.35">
      <c r="A31" s="82" t="s">
        <v>60</v>
      </c>
      <c r="B31" s="188"/>
      <c r="C31" s="189"/>
      <c r="D31" s="28"/>
      <c r="E31" s="190" t="str">
        <f t="shared" si="0"/>
        <v/>
      </c>
      <c r="F31" s="152"/>
      <c r="G31" s="191" t="str">
        <f t="shared" si="1"/>
        <v/>
      </c>
      <c r="H31" s="152"/>
      <c r="I31" s="192" t="str">
        <f>IF(OR(B31="",D31=""),"",IF(OR(B31&lt;0,D31&lt;0,AND(G31="",G31&lt;0,G31&gt;100)),"Error",IF(G31="","",IF(ROUND(G31*5/100,2)&gt;5,5,ROUND(G31*5/100,2)))))</f>
        <v/>
      </c>
      <c r="J31" s="206"/>
      <c r="K31" s="201"/>
      <c r="L31" s="29" t="str">
        <f>IF(B31&lt;0,"จำนวนอาจารย์ประจำหลักสูตรคุณวุฒิปริญญาเอก ต้องไม่ติดลบ",IF(D31&lt;0,"จำนวนอาจารย์ประจำหลักสูตรทั้งหมด ต้องไม่ติดลบ",IF(B31&lt;&gt;ROUND(B31,0),"จำนวนอาจารย์ประจำหลักสูตร ต้องไม่เป็นทศนิยม",IF(AND(B31="",D31=""),"",IF(G31="","",IF(G31&gt;100,"ค่าร้อยละต้องไม่เกิน 100",""))))))</f>
        <v/>
      </c>
    </row>
    <row r="32" spans="1:13" ht="28.5" x14ac:dyDescent="0.35">
      <c r="A32" s="83" t="s">
        <v>20</v>
      </c>
      <c r="B32" s="194"/>
      <c r="C32" s="195"/>
      <c r="D32" s="28"/>
      <c r="E32" s="190" t="str">
        <f>IF(OR(B32="",B32&lt;0,D32="",D32&lt;=0,),"","ร้อยละ")</f>
        <v/>
      </c>
      <c r="F32" s="152"/>
      <c r="G32" s="191" t="str">
        <f>IF(OR(B32="",B32&lt;0,D32="",D32&lt;=0,),"",B32*100/D32)</f>
        <v/>
      </c>
      <c r="H32" s="152"/>
      <c r="I32" s="192" t="str">
        <f>IF(OR(B32="",D32=""),"",IF(OR(B32&lt;0,D32&lt;0),"Error",IF(G32="","",IF(ROUND(G32*5/60,2)&gt;5,5,ROUND(G32*5/60,2)))))</f>
        <v/>
      </c>
      <c r="J32" s="206"/>
      <c r="K32" s="201"/>
      <c r="L32" s="29" t="str">
        <f>IF(OR(B32="",D32=""),"",IF(B32&lt;0,"ผลรวมถ่วงน้ำหนัก ต้องไม่ติดลบ",IF(D32&lt;0,"จำนวนอาจารย์ประจำหลักสูตรทั้งหมด ต้องไม่ติดลบ","")))</f>
        <v/>
      </c>
    </row>
    <row r="33" spans="1:101" ht="28.5" x14ac:dyDescent="0.35">
      <c r="A33" s="30" t="s">
        <v>21</v>
      </c>
      <c r="B33" s="211" t="s">
        <v>22</v>
      </c>
      <c r="C33" s="211"/>
      <c r="D33" s="211"/>
      <c r="E33" s="211"/>
      <c r="F33" s="209"/>
      <c r="G33" s="210"/>
      <c r="H33" s="28"/>
      <c r="I33" s="192" t="str">
        <f>IF(OR(F33="",H33=""),"",IF(OR(F33&lt;0,F33&lt;&gt;ROUND(F33,0),H33&lt;=0),"Error",IF(ROUND(F33/H33*5/2.5,2)&gt;5,5,ROUND(F33/H33*5/2.5,2))))</f>
        <v/>
      </c>
      <c r="J33" s="206"/>
      <c r="K33" s="201"/>
      <c r="L33" s="29" t="str">
        <f>IF(OR(F33="",H33=""),"",IF(F33&lt;0,"จำนวนบทความที่ได้รับการอ้างอิง ต้องไม่ติดลบ",IF(F33&lt;&gt;ROUND(F33,0),"จำนวนบทความที่ได้รับการอ้างอิง ต้องไม่เป็นทศนิยม",IF(H33&lt;0,"จำนวนอาจารย์ประจำหลักสูตรทั้งหมด ต้องไม่ติดลบ",""))))</f>
        <v/>
      </c>
    </row>
    <row r="34" spans="1:101" ht="28.5" x14ac:dyDescent="0.35">
      <c r="A34" s="85" t="s">
        <v>23</v>
      </c>
      <c r="B34" s="212" t="s">
        <v>24</v>
      </c>
      <c r="C34" s="213"/>
      <c r="D34" s="213"/>
      <c r="E34" s="213"/>
      <c r="F34" s="209"/>
      <c r="G34" s="210"/>
      <c r="H34" s="28"/>
      <c r="I34" s="192" t="str">
        <f>IF(OR(F34="",H34=""),"",IF(OR(F34&lt;0,F34&lt;&gt;ROUND(F34,0),H34&lt;=0),"Error",IF(ROUND(F34/H34*5/3,2)&gt;5,5,ROUND(F34/H34*5/3,2))))</f>
        <v/>
      </c>
      <c r="J34" s="206"/>
      <c r="K34" s="201"/>
      <c r="L34" s="29" t="str">
        <f>IF(OR(F34="",H34=""),"",IF(F34&lt;0,"จำนวนบทความที่ได้รับการอ้างอิง ต้องไม่ติดลบ",IF(F34&lt;&gt;ROUND(F34,0),"จำนวนบทความที่ได้รับการอ้างอิง ต้องไม่เป็นทศนิยม",IF(H34&lt;0,"จำนวนอาจารย์ประจำหลักสูตรทั้งหมด ต้องไม่ติดลบ",""))))</f>
        <v/>
      </c>
    </row>
    <row r="35" spans="1:101" ht="28.5" x14ac:dyDescent="0.35">
      <c r="A35" s="85"/>
      <c r="B35" s="207" t="s">
        <v>25</v>
      </c>
      <c r="C35" s="208"/>
      <c r="D35" s="208"/>
      <c r="E35" s="208"/>
      <c r="F35" s="209"/>
      <c r="G35" s="210"/>
      <c r="H35" s="28"/>
      <c r="I35" s="192" t="str">
        <f>IF(OR(F35="",H35=""),"",IF(OR(F35&lt;0,F35&lt;&gt;ROUND(F35,0),H35&lt;=0),"Error",IF(ROUND(F35/H35*5/0.25,2)&gt;5,5,ROUND(F35/H35*5/0.25,2))))</f>
        <v/>
      </c>
      <c r="J35" s="206"/>
      <c r="K35" s="202"/>
      <c r="L35" s="29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01" ht="39.950000000000003" customHeight="1" x14ac:dyDescent="0.35">
      <c r="A36" s="79" t="s">
        <v>26</v>
      </c>
      <c r="B36" s="196"/>
      <c r="C36" s="196"/>
      <c r="D36" s="196"/>
      <c r="E36" s="196"/>
      <c r="F36" s="196"/>
      <c r="G36" s="196"/>
      <c r="H36" s="196"/>
      <c r="I36" s="196"/>
      <c r="J36" s="24"/>
      <c r="K36" s="25" t="str">
        <f>IF(J36="","",IF(OR(J36&lt;0,J36&lt;&gt;ROUND(J36,0),J36&gt;5),"Error",J36))</f>
        <v/>
      </c>
      <c r="L36" s="26" t="str">
        <f>IF(J36="","",(IF(J36&lt;0,"ตะแนนต้องไม่ติดลบ",IF(J36&lt;&gt;ROUND(J36,0),"คะแนนต้องไม่เป็นทศนิยม",IF(J36&gt;5,"คะแนนต้องไม่มากกว่า 5","")))))</f>
        <v/>
      </c>
    </row>
    <row r="37" spans="1:101" ht="39.950000000000003" customHeight="1" x14ac:dyDescent="0.35">
      <c r="A37" s="79" t="s">
        <v>27</v>
      </c>
      <c r="B37" s="196"/>
      <c r="C37" s="196"/>
      <c r="D37" s="196"/>
      <c r="E37" s="196"/>
      <c r="F37" s="196"/>
      <c r="G37" s="196"/>
      <c r="H37" s="196"/>
      <c r="I37" s="196"/>
      <c r="J37" s="24"/>
      <c r="K37" s="25" t="str">
        <f>IF(J37="","",IF(OR(J37&lt;0,J37&lt;&gt;ROUND(J37,0),J37&gt;5),"Error",J37))</f>
        <v/>
      </c>
      <c r="L37" s="26" t="str">
        <f>IF(J37="","",(IF(J37&lt;0,"ตะแนนต้องไม่ติดลบ",IF(J37&lt;&gt;ROUND(J37,0),"คะแนนต้องไม่เป็นทศนิยม",IF(J37&gt;5,"คะแนนต้องไม่มากกว่า 5","")))))</f>
        <v/>
      </c>
    </row>
    <row r="38" spans="1:101" ht="39.950000000000003" customHeight="1" x14ac:dyDescent="0.35">
      <c r="A38" s="79" t="s">
        <v>28</v>
      </c>
      <c r="B38" s="196"/>
      <c r="C38" s="196"/>
      <c r="D38" s="196"/>
      <c r="E38" s="196"/>
      <c r="F38" s="196"/>
      <c r="G38" s="196"/>
      <c r="H38" s="196"/>
      <c r="I38" s="196"/>
      <c r="J38" s="24"/>
      <c r="K38" s="25" t="str">
        <f>IF(J38="","",IF(OR(J38&lt;0,J38&lt;&gt;ROUND(J38,0),J38&gt;5),"Error",J38))</f>
        <v/>
      </c>
      <c r="L38" s="26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01" ht="39.950000000000003" customHeight="1" x14ac:dyDescent="0.35">
      <c r="A39" s="79" t="s">
        <v>29</v>
      </c>
      <c r="B39" s="196"/>
      <c r="C39" s="196"/>
      <c r="D39" s="196"/>
      <c r="E39" s="196"/>
      <c r="F39" s="196"/>
      <c r="G39" s="196"/>
      <c r="H39" s="196"/>
      <c r="I39" s="196"/>
      <c r="J39" s="24"/>
      <c r="K39" s="25" t="str">
        <f>IF(J39="","",IF(OR(J39&lt;0,J39&lt;&gt;ROUND(J39,0),J39&gt;5),"Error",J39))</f>
        <v/>
      </c>
      <c r="L39" s="26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01" ht="28.5" customHeight="1" x14ac:dyDescent="0.35">
      <c r="A40" s="222" t="s">
        <v>30</v>
      </c>
      <c r="B40" s="31"/>
      <c r="C40" s="31"/>
      <c r="D40" s="31"/>
      <c r="E40" s="31"/>
      <c r="F40" s="64"/>
      <c r="G40" s="67"/>
      <c r="H40" s="68"/>
      <c r="I40" s="69"/>
      <c r="J40" s="70"/>
      <c r="K40" s="200" t="str">
        <f>IF(OR(E42="",F42="",I42=""),"",IF(OR(L41&lt;&gt;"",E42&lt;0,E42&lt;&gt;ROUND(E42,0),F42&lt;0,F42&lt;&gt;ROUND(F42,0),E42&gt;F42),"Error",IF(AND(E42&lt;&gt;"",F42&lt;&gt;"",I42&gt;100),"Error",IF(OR(E42="",F42="",I42="Error"),"",IF(OR(E42="",F42="",E42&gt;F42),"",IF(OR(E42&lt;0,F42&lt;0,I42="",I42&lt;0,I42&gt;100),"Error",IF(I42="","",IF(I42=100,5,IF(AND(I42&gt;=95,I42&lt;100),4.75,IF(AND(I42&gt;=90,I42&lt;95),4.5,IF(AND(I42&gt;=80.01,I42&lt;90),4,IF(I42=80,3.5,0))))))))))))</f>
        <v/>
      </c>
      <c r="L40" s="26" t="str">
        <f>IF(D42="","ในช่อง D42 ใส่เลข 1 ตือ 5 ข้อแรกต้องผ่าน หรือ 2 คือ 5 ข้อแรกไม่จำเป็นต้องผ่านทุกข้อ หรือ 3 จำนวนข้อตามมติสภาสถาบัน",IF(AND(D42&lt;&gt;1,D42&lt;&gt;2,D42&lt;&gt;3),"ในช่อง D42 ต้องใส่เลข 1, 2 หรือ 3 เท่านั้น",IF(AND(A2="",COUNTIF(B40:J40,"")=9,COUNTIF(B41:J41,"")=9,COUNTIF(B42:C42,"")=2,F42=""),"",IF(D42=3,CW42,IF(C3=1,CW41,IF(OR(C3=2,C3=3),CW40,"ต้องใส่จำนวนข้อตามตัวบ่งชี้การดำเนินงานตาม TQF ที่ระบุไว้ในหลักสูตรแต่ละปี"))))))</f>
        <v/>
      </c>
      <c r="CA40" s="88" t="str">
        <f>IF(AND(OR(C3=2,C3=3),B40=""),"ใส่ผลประเมินเกณฑ์ข้อ 1",IF(OR(B40="Y",B40="N"),"","เกณฑ์ข้อ 1 ต้องใส่ Y หรือ N"))</f>
        <v>เกณฑ์ข้อ 1 ต้องใส่ Y หรือ N</v>
      </c>
      <c r="CB40" s="88" t="str">
        <f>IF(AND(OR(C3=2,C3=3),C40=""),"ใส่ผลประเมินเกณฑ์ข้อ 2",IF(OR(C40="Y",C40="N"),"","เกณฑ์ข้อ 2 ต้องใส่ Y หรือ N"))</f>
        <v>เกณฑ์ข้อ 2 ต้องใส่ Y หรือ N</v>
      </c>
      <c r="CC40" s="88" t="str">
        <f>IF(AND(OR(C3=2,C3=3),D40=""),"ใส่ผลประเมินเกณฑ์ข้อ 3",IF(OR(D40="Y",D40="N"),"","เกณฑ์ข้อ 3 ต้องใส่ Y หรือ N"))</f>
        <v>เกณฑ์ข้อ 3 ต้องใส่ Y หรือ N</v>
      </c>
      <c r="CD40" s="88" t="str">
        <f>IF(AND(OR(C3=2,C3=3),E40=""),"ใส่ผลประเมินเกณฑ์ข้อ 4",IF(OR(E40="Y",E40="N"),"","เกณฑ์ข้อ 4 ต้องใส่ Y หรือ N"))</f>
        <v>เกณฑ์ข้อ 4 ต้องใส่ Y หรือ N</v>
      </c>
      <c r="CE40" s="88" t="str">
        <f>IF(AND(OR(C3=2,C3=3),F40=""),"ใส่ผลประเมินเกณฑ์ข้อ 5",IF(OR(F40="Y",F40="N"),"","เกณฑ์ข้อ 5 ต้องใส่ Y หรือ N"))</f>
        <v>เกณฑ์ข้อ 5 ต้องใส่ Y หรือ N</v>
      </c>
      <c r="CF40" s="88" t="str">
        <f>IF(F42&lt;7,"",IF(AND(OR(C3=2,C3=3),G40=""),"ใส่ผลประเมินเกณฑ์ข้อ 6",IF(OR(G40="Y",G40="N"),"","เกณฑ์ข้อ 6 ต้องใส่ Y หรือ N")))</f>
        <v/>
      </c>
      <c r="CG40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H40=""),"ใส่ผลประเมินเกณฑ์ข้อ 7 เป็น Y, N หรือเคาะ space bar",IF(OR(C3=2,C3=3,H40="Y",H40="N",H40=" "),"","เกณฑ์ข้อ 7 ต้องใส่ Y หรือ N หรือเคาะ space bar"))))</f>
        <v/>
      </c>
      <c r="CH40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I40=""),"ใส่ผลประเมินเกณฑ์ข้อ 8 เป็น Y, N หรือเคาะ space bar",IF(OR(C3=2,C3=3,I40="Y",I40="N",I40=" "),"","เกณฑ์ข้อ 8 ต้องใส่ Y หรือ N หรือเคาะ space bar"))))</f>
        <v/>
      </c>
      <c r="CI40" s="88" t="str">
        <f>IF(F42&lt;9,"",IF(AND(OR(C3=2,C3=3),J40=""),"ใส่ผลประเมินเกณฑ์ข้อ 9",IF(OR(J40="Y",J40="N"),"","เกณฑ์ข้อ 9 ต้องใส่ Y หรือ N")))</f>
        <v/>
      </c>
      <c r="CJ40" s="88" t="str">
        <f>IF(F42&lt;10,"",IF(AND(OR(C3=2,C3=3),B41=""),"ใส่ผลประเมินเกณฑ์ข้อ 10 เป็น Y, N หรือเคาะ space bar",IF(OR(B41="Y",B41="N",B41=" "),"","เกณฑ์ข้อ 10 ต้องใส่ Y หรือ N หรือเคาะ space bar")))</f>
        <v/>
      </c>
      <c r="CK40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11,C41=""),"ใส่ผลประเมินเกณฑ์ข้อ 11",IF(OR(C41="Y",C41="N"),"","เกณฑ์ข้อ 11 ต้องใส่ Y หรือ N"))))</f>
        <v/>
      </c>
      <c r="CL40" s="95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12,D41=""),"ใส่ผลประเมินเกณฑ์ข้อ 12",IF(OR(D41="Y",D41="N"),"","เกณฑ์ข้อ 12 ต้องใส่ Y หรือ N"))))</f>
        <v/>
      </c>
      <c r="CM40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OR(C3=2,C3=3),F42=13,E41=""),"ใส่ผลประเมินเกณฑ์ข้อ 13",IF(OR(E41="Y",E41="N"),"","เกณฑ์ข้อ 13 ต้องใส่ Y หรือ N"))))</f>
        <v/>
      </c>
      <c r="CN40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OR(C3=2,C3=3),F42=14,F41=""),"ใส่ผลประเมินเกณฑ์ข้อ 14",IF(OR(F41="Y",F41="N"),"","เกณฑ์ข้อ 14 ต้องใส่ Y หรือ N"))))</f>
        <v/>
      </c>
      <c r="CO40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OR(C3=2,C3=3),F42=15,G41=""),"ใส่ผลประเมินเกณฑ์ข้อ 15",IF(OR(G41="Y",G41="N"),"","เกณฑ์ข้อ 15 ต้องใส่ Y หรือ N"))))</f>
        <v/>
      </c>
      <c r="CP40" s="88" t="str">
        <f>IF(F42&lt;16,"",IF(AND(F42=16,OR(I41&lt;&gt;"",J41&lt;&gt;"",B42&lt;&gt;"",C42&lt;&gt;"")),"ประเมินตัวบ่งชี้ที่ไม่ได้ระบุไว้ในหลักสูตรแต่ละปี",IF(AND(OR(C3=2,C3=3),F42=16,H41=""),"ใส่ผลประเมินเกณฑ์ข้อ 16",IF(OR(H41="Y",H41="N"),"","เกณฑ์ข้อ 16 ต้องใส่ Y หรือ N"))))</f>
        <v/>
      </c>
      <c r="CQ40" s="88" t="str">
        <f>IF(F42&lt;17,"",IF(AND(F42=17,OR(J41&lt;&gt;"",B42&lt;&gt;"",C42&lt;&gt;"")),"ประเมินตัวบ่งชี้ที่ไม่ได้ระบุไว้ในหลักสูตรแต่ละปี",IF(AND(OR(C3=2,C3=3),F42=17,I41=""),"ใส่ผลประเมินเกณฑ์ข้อ 17",IF(OR(I41="Y",I41="N"),"","เกณฑ์ข้อ 17 ต้องใส่ Y หรือ N"))))</f>
        <v/>
      </c>
      <c r="CR40" s="88" t="str">
        <f>IF(F42&lt;18,"",IF(AND(F42=18,OR(B42&lt;&gt;"",C42&lt;&gt;"")),"ประเมินตัวบ่งชี้ที่ไม่ได้ระบุไว้ในหลักสูตรแต่ละปี",IF(AND(OR(C3=2,C3=3),F42=18,J41=""),"ใส่ผลประเมินเกณฑ์ข้อ 18",IF(OR(J41="Y",J41="N"),"","เกณฑ์ข้อ 18 ต้องใส่ Y หรือ N"))))</f>
        <v/>
      </c>
      <c r="CS40" s="88" t="str">
        <f>IF(F42&lt;19,"",IF(AND(F42=19,OR(C42&lt;&gt;"")),"ประเมินตัวบ่งชี้ที่ไม่ได้ระบุไว้ในหลักสูตรแต่ละปี",IF(AND(OR(C3=2,C3=3),F42=19,B42=""),"ใส่ผลประเมินเกณฑ์ข้อ 19",IF(OR(B42="Y",B42="N"),"","เกณฑ์ข้อ 19 ต้องใส่ Y หรือ N"))))</f>
        <v/>
      </c>
      <c r="CT40" s="88" t="str">
        <f>IF(F42&lt;20,"",IF(AND(OR(C3=2,C3=3),F42=20,C42=""),"ใส่ผลประเมินเกณฑ์ข้อ 20",IF(OR(C42="Y",C42="N"),"","เกณฑ์ข้อ 20 ต้องใส่ Y หรือ N")))</f>
        <v/>
      </c>
      <c r="CU40" s="96" t="str">
        <f>IF(AND(CA40="",CB40="",CC40="",CD40="",CE40="",CF40="",CG40="",CH40="",CI40="",CJ40="",CK40="",CL40="",CM40=""),"",IF(CA40&lt;&gt;"",CA40,IF(CB40&lt;&gt;"",CB40,IF(CC40&lt;&gt;"",CC40,IF(CD40&lt;&gt;"",CD40,IF(CE40&lt;&gt;"",CE40,IF(CF40&lt;&gt;"",CF40,IF(CG40&lt;&gt;"",CG40,IF(CH40&lt;&gt;"",CH40,IF(CI40&lt;&gt;"",CI40,IF(CJ40&lt;&gt;"",CJ40,IF(CK40&lt;&gt;"",CK40,IF(CL40&lt;&gt;"",CL40,IF(CM40&lt;&gt;"",CM40,"Error"))))))))))))))</f>
        <v>เกณฑ์ข้อ 1 ต้องใส่ Y หรือ N</v>
      </c>
      <c r="CV40" s="97" t="str">
        <f>IF(AND(CN40="",CO40="",CP40="",CQ40="",CR40="",CS40="",CT40=""),"",IF(CN40&lt;&gt;"",CN40,IF(CO40&lt;&gt;"",CO40,IF(CP40&lt;&gt;"",CP40,IF(CQ40&lt;&gt;"",CQ40,IF(CR40&lt;&gt;"",CR40,IF(CS40&lt;&gt;"",CS40,IF(CT40&lt;&gt;"",CT40))))))))</f>
        <v/>
      </c>
      <c r="CW40" s="65" t="str">
        <f>IF(AND(CU40="",CV40=""),"",IF(CU40&lt;&gt;"",CU40,IF(CV40&lt;&gt;"",CV40,"Error")))</f>
        <v>เกณฑ์ข้อ 1 ต้องใส่ Y หรือ N</v>
      </c>
    </row>
    <row r="41" spans="1:101" ht="28.5" customHeight="1" x14ac:dyDescent="0.35">
      <c r="A41" s="223"/>
      <c r="B41" s="4"/>
      <c r="C41" s="5"/>
      <c r="D41" s="6"/>
      <c r="E41" s="66"/>
      <c r="F41" s="16"/>
      <c r="G41" s="73"/>
      <c r="H41" s="74"/>
      <c r="I41" s="75"/>
      <c r="J41" s="76"/>
      <c r="K41" s="201"/>
      <c r="L41" s="29" t="str">
        <f>IF(AND(E42="",F42=""),"",IF(AND(E42&lt;&gt;"",F42&lt;&gt;"",E42&gt;F42),"จำนวนข้อของผลการดำเนินงานตามตัวบ่งชี้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E42&lt;0,"จำนวนข้อของผลการดำเนินงานตามตัวบ่งชี้ ต้องไม่ติดลบ",IF(F42&lt;0,"จำนวนข้อตามตัวบ่งชี้ที่ระบุไว้ในหลักสูตรแต่ละปี ต้องไม่ติดลบ",IF(F42&lt;&gt;ROUND(F42,0),"จำนวนข้อตามตัวบ่งชี้ที่ระบุไว้ในหลักสูตรแต่ละปี ต้องไม่เป็นทศนิยม",IF(F42&gt;21,"จำนวนข้อตามตัวบ่งชี้ที่ระบุไว้ในหลักสูตรแต่ละปี ต้องไม่มากกว่าที่ระบุในหลักสูตร",IF(AND(E42="",F42=""),"",IF(I42="","",IF(I42&gt;100,"ค่าร้อยละต้องไม่เกิน 100",IF(OR(AND(F42=9,H40="",C41="",D41="",E41="",F41="",G41="",H41="",I41="",J41="",B42="",C42=""),AND(F42=10,C41="",D41="",E41="",F41="",G41="",H41="",I41="",J41="",B42="",C42=""),AND(F42=11,D41="",E41="",F41="",G41="",H41="",I41="",J41="",B42="",C42=""),AND(F42=12,E41="",F41="",G41="",H41="",I41="",J41="",B42="",C42=""),AND(F42=13,F41="",G41="",H41="",I41="",J41="",B42="",C42=""),AND(F42=14,G41="",H41="",I41="",J41="",B42="",C42=""),AND(F42=15,H41="",I41="",J41="",B42="",C42=""),AND(F42=16,I41="",J41="",B42="",C42=""),AND(F42=17,J41="",B42="",C42=""),AND(F42=18,B42="",C42=""),AND(F42=19,C42=""),F42=20),"",IF(D42=3,"","จำนวนข้อของผลการดำเนินงานทั้งหมด มากกว่าที่ระบุไว้ในหลักสูตรแต่ละปี")))))))))))</f>
        <v/>
      </c>
      <c r="CA41" s="88" t="str">
        <f>IF(AND(C3=1,B40=""),"ใส่ผลประเมินเกณฑ์ข้อ 1",IF(OR(B40="Y",B40="N"),"","เกณฑ์ข้อ 1 ต้องใส่ Y หรือ N"))</f>
        <v>ใส่ผลประเมินเกณฑ์ข้อ 1</v>
      </c>
      <c r="CB41" s="88" t="str">
        <f>IF(AND(C3=1,C40=""),"ใส่ผลประเมินเกณฑ์ข้อ 2",IF(OR(C40="Y",C40="N"),"","เกณฑ์ข้อ 2 ต้องใส่ Y หรือ N"))</f>
        <v>ใส่ผลประเมินเกณฑ์ข้อ 2</v>
      </c>
      <c r="CC41" s="88" t="str">
        <f>IF(AND(C3=1,D40=""),"ใส่ผลประเมินเกณฑ์ข้อ 3",IF(OR(D40="Y",D40="N"),"","เกณฑ์ข้อ 3 ต้องใส่ Y หรือ N"))</f>
        <v>ใส่ผลประเมินเกณฑ์ข้อ 3</v>
      </c>
      <c r="CD41" s="88" t="str">
        <f>IF(AND(C3=1,E40=""),"ใส่ผลประเมินเกณฑ์ข้อ 4",IF(OR(E40="Y",E40="N"),"","เกณฑ์ข้อ 4 ต้องใส่ Y หรือ N"))</f>
        <v>ใส่ผลประเมินเกณฑ์ข้อ 4</v>
      </c>
      <c r="CE41" s="88" t="str">
        <f>IF(AND(C3=1,F40=""),"ใส่ผลประเมินเกณฑ์ข้อ 5",IF(OR(F40="Y",F40="N"),"","เกณฑ์ข้อ 5 ต้องใส่ Y หรือ N"))</f>
        <v>ใส่ผลประเมินเกณฑ์ข้อ 5</v>
      </c>
      <c r="CF41" s="88" t="str">
        <f>IF(F42&lt;7,"",IF(AND(C3=1,G40=""),"ใส่ผลประเมินเกณฑ์ข้อ 6",IF(OR(G40="Y",G40="N"),"","เกณฑ์ข้อ 6 ต้องใส่ Y หรือ N")))</f>
        <v/>
      </c>
      <c r="CG41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C3=1,H40=""),"ใส่ผลประเมินเกณฑ์ข้อ 7 เป็น Y, N หรือเคาะ space bar",IF(OR(H40="Y",H40="N",H40=" "),"","เกณฑ์ข้อ 7 ต้องใส่ Y หรือ N หรือเคาะ space bar"))))</f>
        <v/>
      </c>
      <c r="CH41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C3=1,I40=""),"ใส่ผลประเมินเกณฑ์ข้อ 8 เป็น Y, N หรือเคาะ space bar",IF(OR(I40="Y",I40="N",I40=" "),"","เกณฑ์ข้อ 8 ต้องใส่ Y หรือ N หรือเคาะ space bar"))))</f>
        <v/>
      </c>
      <c r="CI41" s="88" t="str">
        <f>IF(F42&lt;9,"",IF(AND(C3=1,J40=""),"ใส่ผลประเมินเกณฑ์ข้อ 9",IF(OR(J40="Y",J40="N"),"","เกณฑ์ข้อ 9 ต้องใส่ Y หรือ N")))</f>
        <v/>
      </c>
      <c r="CJ41" s="88" t="str">
        <f>IF(F42&lt;10,"",IF(AND(C3=1,B41=""),"ใส่ผลประเมินเกณฑ์ข้อ 10 เป็น Y, N หรือเคาะ space bar",IF(OR(B41="Y",B41="N",B41=" "),"","เกณฑ์ข้อ 10 ต้องใส่ Y หรือ N หรือเคาะ spacebar")))</f>
        <v/>
      </c>
      <c r="CK41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F42=11,C3=1,C41=""),"ใส่ผลประเมินเกณฑ์ข้อ 11",IF(OR(C41="Y",C41="N"),"","เกณฑ์ข้อ 11 ต้องใส่ Y หรือ N"))))</f>
        <v/>
      </c>
      <c r="CL41" s="88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C3=1,F42=12,D41=""),"ใส่ผลประเมินเกณฑ์ข้อ 12",IF(OR(D41="Y",D41="N"),"","เกณฑ์ข้อ 12 ต้องใส่ Y หรือ N"))))</f>
        <v/>
      </c>
      <c r="CM41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C3=1,F42=13,E41=""),"ใส่ผลประเมินเกณฑ์ข้อ 13",IF(OR(E41="Y",E41="N"),"","เกณฑ์ข้อ 13 ต้องใส่ Y หรือ N"))))</f>
        <v/>
      </c>
      <c r="CN41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C3=1,F42=14,F41=""),"ใส่ผลประเมินเกณฑ์ข้อ 14",IF(OR(F41="Y",F41="N"),"","เกณฑ์ข้อ 14 ต้องใส่ Y หรือ N"))))</f>
        <v/>
      </c>
      <c r="CO41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C3=1,F42=15,G41=""),"ใส่ผลประเมินเกณฑ์ข้อ 15",IF(OR(G41="Y",G41="N"),"","เกณฑ์ข้อ 15 ต้องใส่ Y หรือ N"))))</f>
        <v/>
      </c>
      <c r="CP41" s="88" t="str">
        <f>IF(F42&lt;16,"",IF(AND(F42=16,OR(I41&lt;&gt;"",J41&lt;&gt;"",B42&lt;&gt;"",C42&lt;&gt;"")),"ประเมินตัวบ่งชี้ที่ไม่ได้ระบุไว้ในหลักสูตรแต่ละปี",IF(AND(C3=1,F42=16,H41=""),"ใส่ผลประเมินเกณฑ์ข้อ 16",IF(OR(H41="Y",H41="N"),"","เกณฑ์ข้อ 16 ต้องใส่ Y หรือ N"))))</f>
        <v/>
      </c>
      <c r="CQ41" s="88" t="str">
        <f>IF(F42&lt;17,"",IF(AND(F42=17,OR(J41&lt;&gt;"",B42&lt;&gt;"",C42&lt;&gt;"")),"ประเมินตัวบ่งชี้ที่ไม่ได้ระบุไว้ในหลักสูตรแต่ละปี",IF(AND(C3=1,F42=17,I41=""),"ใส่ผลประเมินเกณฑ์ข้อ 17",IF(OR(I41="Y",I41="N"),"","เกณฑ์ข้อ 17 ต้องใส่ Y หรือ N"))))</f>
        <v/>
      </c>
      <c r="CR41" s="88" t="str">
        <f>IF(F42&lt;18,"",IF(AND(F42=18,OR(B42&lt;&gt;"",C42&lt;&gt;"")),"ประเมินตัวบ่งชี้ที่ไม่ได้ระบุไว้ในหลักสูตรแต่ละปี",IF(AND(C3=1,F42=18,J41=""),"ใส่ผลประเมินเกณฑ์ข้อ 18",IF(OR(J41="Y",J41="N"),"","เกณฑ์ข้อ 18 ต้องใส่ Y หรือ N"))))</f>
        <v/>
      </c>
      <c r="CS41" s="88" t="str">
        <f>IF(F42&lt;19,"",IF(AND(F42=19,OR(C42&lt;&gt;"")),"ประเมินตัวบ่งชี้ที่ไม่ได้ระบุไว้ในหลักสูตรแต่ละปี",IF(AND(C3=1,F42=19,B42=""),"ใส่ผลประเมินเกณฑ์ข้อ 19",IF(OR(B42="Y",B42="N"),"","เกณฑ์ข้อ 19 ต้องใส่ Y หรือ N"))))</f>
        <v/>
      </c>
      <c r="CT41" s="88" t="str">
        <f>IF(F42&lt;20,"",IF(AND(C3=1,F42=20,C42=""),"ใส่ผลประเมินเกณฑ์ข้อ 20",IF(OR(C42="Y",C42="N"),"","เกณฑ์ข้อ 20 ต้องใส่ Y หรือ N")))</f>
        <v/>
      </c>
      <c r="CU41" s="96" t="str">
        <f>IF(AND(CA41="",CB41="",CC41="",CD41="",CE41="",CF41="",CG41="",CH41="",CI41="",CJ41="",CK41="",CL41="",CM41=""),"",IF(CA41&lt;&gt;"",CA41,IF(CB41&lt;&gt;"",CB41,IF(CC41&lt;&gt;"",CC41,IF(CD41&lt;&gt;"",CD41,IF(CE41&lt;&gt;"",CE41,IF(CF41&lt;&gt;"",CF41,IF(CG41&lt;&gt;"",CG41,IF(CH41&lt;&gt;"",CH41,IF(CI41&lt;&gt;"",CI41,IF(CJ41&lt;&gt;"",CJ41,IF(CK41&lt;&gt;"",CK41,IF(CL41&lt;&gt;"",CL41,IF(CM41&lt;&gt;"",CM41,"Error"))))))))))))))</f>
        <v>ใส่ผลประเมินเกณฑ์ข้อ 1</v>
      </c>
      <c r="CV41" s="97" t="str">
        <f>IF(AND(CN41="",CO41="",CP41="",CQ41="",CR41="",CS41="",CT41=""),"",IF(CN41&lt;&gt;"",CN41,IF(CO41&lt;&gt;"",CO41,IF(CP41&lt;&gt;"",CP41,IF(CQ41&lt;&gt;"",CQ41,IF(CR41&lt;&gt;"",CR41,IF(CS41&lt;&gt;"",CS41,IF(CT41&lt;&gt;"",CT41))))))))</f>
        <v/>
      </c>
      <c r="CW41" s="65" t="str">
        <f>IF(AND(CU41="",CV41=""),"",IF(CU41&lt;&gt;"",CU41,IF(CV41&lt;&gt;"",CV41,"Error")))</f>
        <v>ใส่ผลประเมินเกณฑ์ข้อ 1</v>
      </c>
    </row>
    <row r="42" spans="1:101" ht="28.5" customHeight="1" thickBot="1" x14ac:dyDescent="0.4">
      <c r="A42" s="224"/>
      <c r="B42" s="77"/>
      <c r="C42" s="12"/>
      <c r="D42" s="78">
        <v>2</v>
      </c>
      <c r="E42" s="63" t="str">
        <f>IF(D42=1,CA43,IF(D42=2,CC43,IF(D42=3,CE43,"")))</f>
        <v/>
      </c>
      <c r="F42" s="71"/>
      <c r="G42" s="226" t="str">
        <f>IF(OR(E42="",F42="",F42&lt;=0),"",IF(OR(E42&gt;F42,F42&gt;21),"Error","ร้อยละ"))</f>
        <v/>
      </c>
      <c r="H42" s="227"/>
      <c r="I42" s="225" t="str">
        <f>IF(E42="","",IF(L40&lt;&gt;"","",IF(OR(E42="",E42&lt;0,E42&lt;&gt;ROUND(E42,0),F42="",F42&lt;=0,F42&lt;&gt;ROUND(F42,0),E42&gt;F42),"",IF(AND(E42&lt;&gt;"",F42&lt;&gt;""),ROUND(E42*100/IF(F42=1,1,(F42-SUM(COUNTIF(B40:J40," "),COUNTIF(B41:D41," ")))),2),"Error"))))</f>
        <v/>
      </c>
      <c r="J42" s="148"/>
      <c r="K42" s="202"/>
      <c r="L42" s="17" t="str">
        <f>IF(OR(CW40="",CW41=""),"",IF(OR(E41&lt;&gt;"",F41&lt;&gt;"",G41&lt;&gt;"",H41&lt;&gt;"",I41&lt;&gt;"",J41&lt;&gt;"",B42&lt;&gt;"",C42&lt;&gt;""),"ตรวจสอบจำนวนข้อตามตัวบ่งชี้การดำเนินการ ตามกรอบ มคอ ที่ระบุไว้ในหลักสูตร",""))</f>
        <v/>
      </c>
      <c r="CA42" s="88" t="str">
        <f>IF(F42&lt;2,"",IF(AND(OR(C3=2,C3=3),B40=""),"ใส่ผลประเมินเกณฑ์ข้อ 1",IF(OR(B40="Y",B40="N"),"","เกณฑ์ข้อ 1 ต้องใส่ Y หรือ N")))</f>
        <v/>
      </c>
      <c r="CB42" s="88" t="str">
        <f>IF(F42&lt;3,"",IF(AND(OR(C3=2,C3=3),C40=""),"ใส่ผลประเมินเกณฑ์ข้อ 2",IF(OR(C40="Y",C40="N"),"","เกณฑ์ข้อ 2 ต้องใส่ Y หรือ N")))</f>
        <v/>
      </c>
      <c r="CC42" s="88" t="str">
        <f>IF(F42&lt;4,"",IF(AND(OR(C3=2,C3=3),D40=""),"ใส่ผลประเมินเกณฑ์ข้อ 3",IF(OR(D40="Y",D40="N"),"","เกณฑ์ข้อ 3 ต้องใส่ Y หรือ N")))</f>
        <v/>
      </c>
      <c r="CD42" s="88" t="str">
        <f>IF(F42&lt;5,"",IF(AND(OR(C3=2,C3=3),E40=""),"ใส่ผลประเมินเกณฑ์ข้อ 4",IF(OR(E40="Y",E40="N"),"","เกณฑ์ข้อ 4 ต้องใส่ Y หรือ N")))</f>
        <v/>
      </c>
      <c r="CE42" s="88" t="str">
        <f>IF(F42&lt;6,"",IF(AND(OR(C3=2,C3=3),F40=""),"ใส่ผลประเมินเกณฑ์ข้อ 5",IF(OR(F40="Y",F40="N"),"","เกณฑ์ข้อ 5 ต้องใส่ Y หรือ N")))</f>
        <v/>
      </c>
      <c r="CF42" s="88" t="str">
        <f>IF(F42&lt;7,"",IF(AND(OR(C3=2,C3=3),G40=""),"ใส่ผลประเมินเกณฑ์ข้อ 6",IF(OR(G40="Y",G40="N"),"","เกณฑ์ข้อ 6 ต้องใส่ Y หรือ N")))</f>
        <v/>
      </c>
      <c r="CG42" s="88" t="str">
        <f>IF(AND(F42&lt;8,H40=""),"",IF(AND(F42=9,OR(H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H40=""),"ใส่ผลประเมินเกณฑ์ข้อ 7 เป็น Y, N หรือเคาะ space bar",IF(OR(C3=2,C3=3,H40="Y",H40="N",H40=" "),"","เกณฑ์ข้อ 7 ต้องใส่ Y หรือ N หรือเคาะ space bar"))))</f>
        <v/>
      </c>
      <c r="CH42" s="88" t="str">
        <f>IF(AND(F42&lt;9,I40=""),"",IF(AND(F42=9,OR(I40&lt;&gt;"",C41&lt;&gt;"",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I40=""),"ใส่ผลประเมินเกณฑ์ข้อ 8 เป็น Y, N หรือเคาะ space bar",IF(OR(C3=2,C3=3,I40="Y",I40="N",I40=" "),"","เกณฑ์ข้อ 8 ต้องใส่ Y หรือ N หรือเคาะ space bar"))))</f>
        <v/>
      </c>
      <c r="CI42" s="88" t="str">
        <f>IF(F42&lt;9,"",IF(AND(OR(C3=2,C3=3),J40=""),"ใส่ผลประเมินเกณฑ์ข้อ 9",IF(OR(J40="Y",J40="N"),"","เกณฑ์ข้อ 9 ต้องใส่ Y หรือ N")))</f>
        <v/>
      </c>
      <c r="CJ42" s="88" t="str">
        <f>IF(F42&lt;10,"",IF(AND(OR(C3=2,C3=3),B41=""),"ใส่ผลประเมินเกณฑ์ข้อ 10 เป็น Y, N หรือเคาะ space bar",IF(OR(B41="Y",B41="N",B41=" "),"","เกณฑ์ข้อ 10 ต้องใส่ Y หรือ N sหรือเคาะ space bar")))</f>
        <v/>
      </c>
      <c r="CK42" s="88" t="str">
        <f>IF(F42&lt;11,"",IF(AND(F42=11,OR(D41&lt;&gt;"",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11,C41=""),"ใส่ผลประเมินเกณฑ์ข้อ 11",IF(OR(C41="Y",C41="N"),"","เกณฑ์ข้อ 11 ต้องใส่ Y หรือ N"))))</f>
        <v/>
      </c>
      <c r="CL42" s="95" t="str">
        <f>IF(F42&lt;12,"",IF(AND(F42=12,OR(E41&lt;&gt;"",F41&lt;&gt;"",G41&lt;&gt;"",H41&lt;&gt;"",I41&lt;&gt;"",J41&lt;&gt;"",B42&lt;&gt;"",C42&lt;&gt;"")),"ประเมินตัวบ่งชี้ที่ไม่ได้ระบุไว้ในหลักสูตรแต่ละปี",IF(AND(OR(C3=2,C3=3),F42=12,D41=""),"ใส่ผลประเมินเกณฑ์ข้อ 12",IF(OR(D41="Y",D41="N"),"","เกณฑ์ข้อ 12 ต้องใส่ Y หรือ N"))))</f>
        <v/>
      </c>
      <c r="CM42" s="88" t="str">
        <f>IF(F42&lt;13,"",IF(AND(F42=13,OR(F41&lt;&gt;"",G41&lt;&gt;"",H41&lt;&gt;"",I41&lt;&gt;"",J41&lt;&gt;"",B42&lt;&gt;"",C42&lt;&gt;"")),"ประเมินตัวบ่งชี้ที่ไม่ได้ระบุไว้ในหลักสูตรแต่ละปี",IF(AND(OR(C3=2,C3=3),F42=13,E41=""),"ใส่ผลประเมินเกณฑ์ข้อ 13",IF(OR(E41="Y",E41="N"),"","เกณฑ์ข้อ 13 ต้องใส่ Y หรือ N"))))</f>
        <v/>
      </c>
      <c r="CN42" s="88" t="str">
        <f>IF(F42&lt;14,"",IF(AND(F42=14,OR(G41&lt;&gt;"",H41&lt;&gt;"",I41&lt;&gt;"",J41&lt;&gt;"",B42&lt;&gt;"",C42&lt;&gt;"")),"ประเมินตัวบ่งชี้ที่ไม่ได้ระบุไว้ในหลักสูตรแต่ละปี",IF(AND(OR(C3=2,C3=3),F42=14,F41=""),"ใส่ผลประเมินเกณฑ์ข้อ 14",IF(OR(F41="Y",F41="N"),"","เกณฑ์ข้อ 14 ต้องใส่ Y หรือ N"))))</f>
        <v/>
      </c>
      <c r="CO42" s="88" t="str">
        <f>IF(F42&lt;15,"",IF(AND(F42=15,OR(H41&lt;&gt;"",I41&lt;&gt;"",J41&lt;&gt;"",B42&lt;&gt;"",C42&lt;&gt;"")),"ประเมินตัวบ่งชี้ที่ไม่ได้ระบุไว้ในหลักสูตรแต่ละปี",IF(AND(OR(C3=2,C3=3),F42=15,G41=""),"ใส่ผลประเมินเกณฑ์ข้อ 15",IF(OR(G41="Y",G41="N"),"","เกณฑ์ข้อ 15 ต้องใส่ Y หรือ N"))))</f>
        <v/>
      </c>
      <c r="CP42" s="88" t="str">
        <f>IF(F42&lt;16,"",IF(AND(F42=16,OR(I41&lt;&gt;"",J41&lt;&gt;"",B42&lt;&gt;"",C42&lt;&gt;"")),"ประเมินตัวบ่งชี้ที่ไม่ได้ระบุไว้ในหลักสูตรแต่ละปี",IF(AND(OR(C3=2,C3=3),F42=16,H41=""),"ใส่ผลประเมินเกณฑ์ข้อ 16",IF(OR(H41="Y",H41="N"),"","เกณฑ์ข้อ 16 ต้องใส่ Y หรือ N"))))</f>
        <v/>
      </c>
      <c r="CQ42" s="88" t="str">
        <f>IF(F42&lt;17,"",IF(AND(F42=17,OR(J41&lt;&gt;"",B42&lt;&gt;"",C42&lt;&gt;"")),"ประเมินตัวบ่งชี้ที่ไม่ได้ระบุไว้ในหลักสูตรแต่ละปี",IF(AND(OR(C3=2,C3=3),F42=17,I41=""),"ใส่ผลประเมินเกณฑ์ข้อ 17",IF(OR(I41="Y",I41="N"),"","เกณฑ์ข้อ 17 ต้องใส่ Y หรือ N"))))</f>
        <v/>
      </c>
      <c r="CR42" s="88" t="str">
        <f>IF(F42&lt;18,"",IF(AND(F42=18,OR(B42&lt;&gt;"",C42&lt;&gt;"")),"ประเมินตัวบ่งชี้ที่ไม่ได้ระบุไว้ในหลักสูตรแต่ละปี",IF(AND(OR(C3=2,C3=3),F42=18,J41=""),"ใส่ผลประเมินเกณฑ์ข้อ 18",IF(OR(J41="Y",J41="N"),"","เกณฑ์ข้อ 18 ต้องใส่ Y หรือ N"))))</f>
        <v/>
      </c>
      <c r="CS42" s="88" t="str">
        <f>IF(F42&lt;19,"",IF(AND(F42=19,OR(C42&lt;&gt;"")),"ประเมินตัวบ่งชี้ที่ไม่ได้ระบุไว้ในหลักสูตรแต่ละปี",IF(AND(OR(C3=2,C3=3),F42=19,B42=""),"ใส่ผลประเมินเกณฑ์ข้อ 19",IF(OR(B42="Y",B42="N"),"","เกณฑ์ข้อ 19 ต้องใส่ Y หรือ N"))))</f>
        <v/>
      </c>
      <c r="CT42" s="88" t="str">
        <f>IF(F42&lt;20,"",IF(AND(OR(C3=2,C3=3),F42=20,C42=""),"ใส่ผลประเมินเกณฑ์ข้อ 20",IF(OR(C42="Y",C42="N"),"","เกณฑ์ข้อ 20 ต้องใส่ Y หรือ N")))</f>
        <v/>
      </c>
      <c r="CU42" s="96" t="str">
        <f>IF(AND(CA42="",CB42="",CC42="",CD42="",CE42="",CF42="",CG42="",CH42="",CI42="",CJ42="",CK42="",CL42="",CM42=""),"",IF(CA42&lt;&gt;"",CA42,IF(CB42&lt;&gt;"",CB42,IF(CC42&lt;&gt;"",CC42,IF(CD42&lt;&gt;"",CD42,IF(CE42&lt;&gt;"",CE42,IF(CF42&lt;&gt;"",CF42,IF(CG42&lt;&gt;"",CG42,IF(CH42&lt;&gt;"",CH42,IF(CI42&lt;&gt;"",CI42,IF(CJ42&lt;&gt;"",CJ42,IF(CK42&lt;&gt;"",CK42,IF(CL42&lt;&gt;"",CL42,IF(CM42&lt;&gt;"",CM42,"Error"))))))))))))))</f>
        <v/>
      </c>
      <c r="CV42" s="97" t="str">
        <f>IF(AND(CN42="",CO42="",CP42="",CQ42="",CR42="",CS42="",CT42=""),"",IF(CN42&lt;&gt;"",CN42,IF(CO42&lt;&gt;"",CO42,IF(CP42&lt;&gt;"",CP42,IF(CQ42&lt;&gt;"",CQ42,IF(CR42&lt;&gt;"",CR42,IF(CS42&lt;&gt;"",CS42,IF(CT42&lt;&gt;"",CT42))))))))</f>
        <v/>
      </c>
      <c r="CW42" s="65" t="str">
        <f>IF(AND(CU42="",CV42=""),"",IF(CU42&lt;&gt;"",CU42,IF(CV42&lt;&gt;"",CV42,"Error")))</f>
        <v/>
      </c>
    </row>
    <row r="43" spans="1:101" ht="39.950000000000003" customHeight="1" x14ac:dyDescent="0.35">
      <c r="A43" s="79" t="s">
        <v>31</v>
      </c>
      <c r="B43" s="196"/>
      <c r="C43" s="196"/>
      <c r="D43" s="196"/>
      <c r="E43" s="196"/>
      <c r="F43" s="196"/>
      <c r="G43" s="196"/>
      <c r="H43" s="196"/>
      <c r="I43" s="196"/>
      <c r="J43" s="24"/>
      <c r="K43" s="25" t="str">
        <f>IF(J43="","",IF(OR(J43&lt;0,J43&lt;&gt;ROUND(J43,0),J43&gt;5),"Error",J43))</f>
        <v/>
      </c>
      <c r="L43" s="26" t="str">
        <f>IF(J43="","",(IF(J43&lt;0,"ตะแนนต้องไม่ติดลบ",IF(J43&lt;&gt;ROUND(J43,0),"คะแนนต้องไม่เป็นทศนิยม",IF(J43&gt;5,"คะแนนต้องไม่มากกว่า 5","")))))</f>
        <v/>
      </c>
      <c r="CA43" s="98" t="str">
        <f>IF(B40="","",IF(COUNTIF(B40:F40,"Y")&lt;&gt;5,0,IF(AND(F42=9,H40="",C41="",D41="",E41="",F41="",G41="",H41="",I41="",J41="",B42="",C42=""),SUM(COUNTIF(B40:G40,"y"),COUNTIF(I40:J40,"y"),COUNTIF(B41,"Y")),IF(AND(F42=10,C41="",D41="",E41="",F41="",G41="",H41="",I41="",J41="",B42="",C42=""),SUM(COUNTIF(B40:J40,"Y"),COUNTIF(B41,"Y")),IF(AND(F42=11,D41="",E41="",F41="",G41="",H41="",I41="",J41="",B42="",C42=""),SUM(COUNTIF(B40:J40,"Y"),COUNTIF(B41:C41,"Y")),IF(AND(F42=12,E41="",F41="",G41="",H41="",I41="",J41="",B42="",C42=""),SUM(COUNTIF(B40:J40,"Y"),COUNTIF(B41:D41,"Y")),IF(AND(F42=13,F41="",G41="",H41="",I41="",J41="",B42="",C42=""),SUM(COUNTIF(B40:J40,"Y"),COUNTIF(B41:E41,"Y")),IF(AND(F42=14,G41="",H41="",I41="",J41="",B42="",C42=""),SUM(COUNTIF(B40:J40,"Y"),COUNTIF(B41:F41,"Y")),IF(AND(F42=15,H41="",I41="",J41="",B42="",C42=""),SUM(COUNTIF(B40:J40,"Y"),COUNTIF(B41:G41,"Y")),IF(AND(F42=16,I41="",J41="",B42="",C42=""),SUM(COUNTIF(B40:J40,"Y"),COUNTIF(B41:H41,"Y")),IF(AND(F42=17,J41="",B42="",C42=""),SUM(COUNTIF(B40:J40,"Y"),COUNTIF(B41:I41,"Y")),IF(AND(F42=18,B42="",C42=""),SUM(COUNTIF(B40:J40,"Y"),COUNTIF(B41:J41,"Y")),IF(AND(F42=19,C42=""),SUM(COUNTIF(B40:J40,"Y"),COUNTIF(B41:J41,"Y"),COUNTIF(B42,"y")),IF(F42=20,SUM(COUNTIF(B40:J40,"Y"),COUNTIF(B41:J41,"Y"),COUNTIF(B42:C42,"y")),""))))))))))))))</f>
        <v/>
      </c>
      <c r="CB43" s="99"/>
      <c r="CC43" s="100" t="str">
        <f>IF(B40="","",IF(AND(F42=9,H40="",C41="",D41="",E41="",F41="",G41="",H41="",I41="",J41="",B42="",C42=""),SUM(COUNTIF(B40:G40,"y"),COUNTIF(I40:J40,"y"),COUNTIF(B41,"Y")),IF(AND(F42=10,C41="",D41="",E41="",F41="",G41="",H41="",I41="",J41="",B42="",C42=""),SUM(COUNTIF(B40:J40,"Y"),COUNTIF(B41,"Y")),IF(AND(F42=11,D41="",E41="",F41="",G41="",H41="",I41="",J41="",B42="",C42=""),SUM(COUNTIF(B40:J40,"Y"),COUNTIF(B41:C41,"Y")),IF(AND(F42=12,E41="",F41="",G41="",H41="",I41="",J41="",B42="",C42=""),SUM(COUNTIF(B40:J40,"Y"),COUNTIF(B41:D41,"Y")),IF(AND(F42=13,F41="",G41="",H41="",I41="",J41="",B42="",C42=""),SUM(COUNTIF(B40:J40,"Y"),COUNTIF(B41:E41,"Y")),IF(AND(F42=14,G41="",H41="",I41="",J41="",B42="",C42=""),SUM(COUNTIF(B40:J40,"Y"),COUNTIF(B41:F41,"Y")),IF(AND(F42=15,H41="",I41="",J41="",B42="",C42=""),SUM(COUNTIF(B40:J40,"Y"),COUNTIF(B41:G41,"Y")),IF(AND(F42=16,I41="",J41="",B42="",C42=""),SUM(COUNTIF(B40:J40,"Y"),COUNTIF(B41:H41,"Y")),IF(AND(F42=17,J41="",B42="",C42=""),SUM(COUNTIF(B40:J40,"Y"),COUNTIF(B41:I41,"Y")),IF(AND(F42=18,B42="",C42=""),SUM(COUNTIF(B40:J40,"Y"),COUNTIF(B41:J41,"Y")),IF(AND(F42=19,C42=""),SUM(COUNTIF(B40:J40,"Y"),COUNTIF(B41:J41,"Y"),COUNTIF(B42,"y")),IF(F42=20,SUM(COUNTIF(B40:J40,"Y"),COUNTIF(B41:J41,"Y"),COUNTIF(B42:C42,"y")),"")))))))))))))</f>
        <v/>
      </c>
      <c r="CD43" s="99"/>
      <c r="CE43" s="102" t="str">
        <f>IF(B40="","",IF(F42=1,COUNTIF(B40,"y"),IF(F42=2,COUNTIF(B40:C40,"y"),IF(F42=3,COUNTIF(B40:D40,"y"),IF(F42=4,COUNTIF(B40:E40,"y"),IF(F42=5,COUNTIF(B40:F40,"y"),IF(F42=6,COUNTIF(B40:G40,"y"),IF(F42=7,COUNTIF(B40:H40,"y"),IF(F42=8,COUNTIF(B40:I40,"Y"),IF(F42=9,COUNTIF(B40:J40,"Y"),IF(F42=10,SUM(COUNTIF(B40:J40,"Y"),COUNTIF(B41,"Y")),IF(F42=11,SUM(COUNTIF(B40:J40,"Y"),COUNTIF(B41:C41,"Y")),IF(F42=12,SUM(COUNTIF(B40:J40,"Y"),COUNTIF(B41:D41,"Y")),IF(F42=13,SUM(COUNTIF(B40:J40,"Y"),COUNTIF(B41:E41,"Y")),IF(F42=14,SUM(COUNTIF(B40:J40,"Y"),COUNTIF(B41:F41,"Y")),IF(F42=15,SUM(COUNTIF(B40:J40,"Y"),COUNTIF(B41:G41,"Y")),IF(F42=16,SUM(COUNTIF(B40:J40,"Y"),COUNTIF(B41:H41,"Y")),IF(F42=17,SUM(COUNTIF(B40:J40,"Y"),COUNTIF(B41:I41,"Y")),IF(F42=18,SUM(COUNTIF(B40:J40,"Y"),COUNTIF(B41:J41,"Y")),IF(F42=19,SUM(COUNTIF(B40:J40,"Y"),COUNTIF(B41:J41,"Y"),COUNTIF(B42,"Y")),IF(F42=20,SUM(COUNTIF(B40:J40,"Y"),COUNTIF(B41:J41,"Y"),COUNTIF(B42:C42,"Y")),"")))))))))))))))))))))</f>
        <v/>
      </c>
    </row>
    <row r="44" spans="1:101" ht="55.5" customHeight="1" x14ac:dyDescent="0.35">
      <c r="A44" s="86"/>
      <c r="B44" s="214" t="s">
        <v>32</v>
      </c>
      <c r="C44" s="215"/>
      <c r="D44" s="215"/>
      <c r="E44" s="215"/>
      <c r="F44" s="215"/>
      <c r="G44" s="215"/>
      <c r="H44" s="215"/>
      <c r="I44" s="215"/>
      <c r="J44" s="215"/>
      <c r="K44" s="32" t="str">
        <f>IF(COUNT(K9:K43)=0,"",IF(COUNTIF(K9:K43,"Error")&gt;0,"Error",ROUND(SUM(K9:K43)/IF(COUNT(K9:K43)=0,1,COUNT(K9:K43)),2)))</f>
        <v/>
      </c>
    </row>
    <row r="45" spans="1:101" ht="26.25" customHeight="1" x14ac:dyDescent="0.4">
      <c r="A45" s="33" t="s">
        <v>33</v>
      </c>
      <c r="B45" s="216" t="str">
        <f>IF(OR(K7="",K7="Error",K44="",K44="Error"),"",IF(K7="ไม่ผ่าน","ไม่ผ่านองค์ประกอบที่ 1 คะแนนระดับหลักสูตร = 0",IF(OR(K40="",K40="Error"),"","หลักสูตรเป็นไปตามเกณฑ์มาตรฐาน พ.ศ. 2548")))</f>
        <v/>
      </c>
      <c r="C45" s="217"/>
      <c r="D45" s="217"/>
      <c r="E45" s="217"/>
      <c r="F45" s="217"/>
      <c r="G45" s="217"/>
      <c r="H45" s="217"/>
      <c r="I45" s="217"/>
      <c r="J45" s="217"/>
      <c r="K45" s="218"/>
    </row>
    <row r="46" spans="1:101" ht="21" customHeight="1" x14ac:dyDescent="0.35">
      <c r="B46" s="219" t="str">
        <f>IF(OR(K7="",K7="Error"),"",IF(OR(K40="",K40="Error"),"",IF(K7="ไม่ผ่าน","",IF(AND(K44&gt;=4.01,K44&lt;=5),"และมีระดับคุณภาพดีมาก",IF(AND(K44&gt;=3.01,K44&lt;4.01),"และมีระดับคุณภาพดี",IF(AND(K44&gt;=2.01,K44&lt;3.01),"และมีระดับคุณภาพปานกลาง",IF(K44&lt;2.01,"และมีระดับคุณภาพน้อย","")))))))</f>
        <v/>
      </c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01" x14ac:dyDescent="0.35">
      <c r="M47" s="99"/>
    </row>
  </sheetData>
  <sheetProtection algorithmName="SHA-512" hashValue="1UE5hhBtoZlKg+QegGE73zzXCBwWa4EKPO5cLAl+gVuuDMBPBY0q+xHMQM8XyDpj2uadAqJQTpdK7mVDUWmIRw==" saltValue="GkN0keo2AJKWeL4NHhNWIQ==" spinCount="100000" sheet="1" objects="1" scenarios="1"/>
  <mergeCells count="104">
    <mergeCell ref="B44:J44"/>
    <mergeCell ref="B45:K45"/>
    <mergeCell ref="B46:K46"/>
    <mergeCell ref="B39:I39"/>
    <mergeCell ref="A40:A42"/>
    <mergeCell ref="I42:J42"/>
    <mergeCell ref="B43:I43"/>
    <mergeCell ref="B36:I36"/>
    <mergeCell ref="B37:I37"/>
    <mergeCell ref="B38:I38"/>
    <mergeCell ref="K40:K42"/>
    <mergeCell ref="G42:H42"/>
    <mergeCell ref="B29:K29"/>
    <mergeCell ref="B30:C30"/>
    <mergeCell ref="E30:F30"/>
    <mergeCell ref="G30:H30"/>
    <mergeCell ref="I30:J30"/>
    <mergeCell ref="K30:K35"/>
    <mergeCell ref="B35:E35"/>
    <mergeCell ref="F35:G35"/>
    <mergeCell ref="I35:J35"/>
    <mergeCell ref="B33:E33"/>
    <mergeCell ref="F33:G33"/>
    <mergeCell ref="I33:J33"/>
    <mergeCell ref="B34:E34"/>
    <mergeCell ref="F34:G34"/>
    <mergeCell ref="I34:J34"/>
    <mergeCell ref="B31:C31"/>
    <mergeCell ref="E31:F31"/>
    <mergeCell ref="G31:H31"/>
    <mergeCell ref="I31:J31"/>
    <mergeCell ref="B32:C32"/>
    <mergeCell ref="E32:F32"/>
    <mergeCell ref="G32:H32"/>
    <mergeCell ref="I32:J32"/>
    <mergeCell ref="B25:K25"/>
    <mergeCell ref="B26:C26"/>
    <mergeCell ref="E26:F26"/>
    <mergeCell ref="G26:H26"/>
    <mergeCell ref="I26:J26"/>
    <mergeCell ref="K26:K28"/>
    <mergeCell ref="B27:C27"/>
    <mergeCell ref="E27:F27"/>
    <mergeCell ref="G27:H27"/>
    <mergeCell ref="I27:J27"/>
    <mergeCell ref="B28:C28"/>
    <mergeCell ref="E28:F28"/>
    <mergeCell ref="G28:H28"/>
    <mergeCell ref="I28:J28"/>
    <mergeCell ref="D12:F12"/>
    <mergeCell ref="B23:C23"/>
    <mergeCell ref="E23:F23"/>
    <mergeCell ref="G23:H23"/>
    <mergeCell ref="I23:J23"/>
    <mergeCell ref="B24:C24"/>
    <mergeCell ref="E24:F24"/>
    <mergeCell ref="G24:H24"/>
    <mergeCell ref="I24:J24"/>
    <mergeCell ref="B17:I17"/>
    <mergeCell ref="B18:I18"/>
    <mergeCell ref="B19:I19"/>
    <mergeCell ref="B20:I20"/>
    <mergeCell ref="B21:K21"/>
    <mergeCell ref="B22:C22"/>
    <mergeCell ref="E22:F22"/>
    <mergeCell ref="G22:H22"/>
    <mergeCell ref="I22:J22"/>
    <mergeCell ref="K22:K24"/>
    <mergeCell ref="A15:A16"/>
    <mergeCell ref="B15:F15"/>
    <mergeCell ref="G15:H16"/>
    <mergeCell ref="I15:J16"/>
    <mergeCell ref="K15:K16"/>
    <mergeCell ref="B16:F16"/>
    <mergeCell ref="A13:A14"/>
    <mergeCell ref="B13:F13"/>
    <mergeCell ref="G13:H14"/>
    <mergeCell ref="I13:J14"/>
    <mergeCell ref="K13:K14"/>
    <mergeCell ref="B14:F14"/>
    <mergeCell ref="A1:K1"/>
    <mergeCell ref="A2:K2"/>
    <mergeCell ref="A4:A6"/>
    <mergeCell ref="B4:J4"/>
    <mergeCell ref="K4:K6"/>
    <mergeCell ref="B5:F5"/>
    <mergeCell ref="G5:J6"/>
    <mergeCell ref="B6:F6"/>
    <mergeCell ref="A11:A12"/>
    <mergeCell ref="G11:H12"/>
    <mergeCell ref="I11:J12"/>
    <mergeCell ref="K11:K12"/>
    <mergeCell ref="A7:A8"/>
    <mergeCell ref="K7:K8"/>
    <mergeCell ref="A9:A10"/>
    <mergeCell ref="G9:H10"/>
    <mergeCell ref="I9:J10"/>
    <mergeCell ref="K9:K10"/>
    <mergeCell ref="D8:J8"/>
    <mergeCell ref="D9:F9"/>
    <mergeCell ref="D10:F10"/>
    <mergeCell ref="B9:C10"/>
    <mergeCell ref="B11:C12"/>
    <mergeCell ref="D11:F11"/>
  </mergeCells>
  <printOptions horizontalCentered="1"/>
  <pageMargins left="0.7" right="0.7" top="0.75" bottom="0.75" header="0.3" footer="0.3"/>
  <pageSetup scale="65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showGridLines="0" zoomScale="90" zoomScaleNormal="90" workbookViewId="0">
      <pane ySplit="8" topLeftCell="A9" activePane="bottomLeft" state="frozen"/>
      <selection pane="bottomLeft" activeCell="E11" sqref="E11"/>
    </sheetView>
  </sheetViews>
  <sheetFormatPr defaultRowHeight="15" x14ac:dyDescent="0.25"/>
  <cols>
    <col min="1" max="1" width="8.85546875" style="35" customWidth="1"/>
    <col min="2" max="2" width="18.140625" style="35" customWidth="1"/>
    <col min="3" max="5" width="15.28515625" style="35" customWidth="1"/>
    <col min="6" max="6" width="26" style="35" customWidth="1"/>
    <col min="7" max="7" width="26.7109375" style="35" customWidth="1"/>
    <col min="8" max="16384" width="9.140625" style="35"/>
  </cols>
  <sheetData>
    <row r="1" spans="1:7" ht="23.25" x14ac:dyDescent="0.25">
      <c r="A1" s="34" t="s">
        <v>34</v>
      </c>
      <c r="B1" s="232" t="str">
        <f>IF(หลักสูตร!A2="","",หลักสูตร!A2)</f>
        <v/>
      </c>
      <c r="C1" s="232"/>
      <c r="D1" s="232"/>
      <c r="E1" s="232"/>
      <c r="F1" s="232"/>
      <c r="G1" s="232"/>
    </row>
    <row r="2" spans="1:7" ht="28.5" x14ac:dyDescent="0.45">
      <c r="A2" s="36"/>
      <c r="B2" s="36"/>
      <c r="C2" s="36"/>
      <c r="D2" s="37" t="s">
        <v>53</v>
      </c>
      <c r="E2" s="38" t="str">
        <f>IF(หลักสูตร!C3=1,"ตรี",IF(หลักสูตร!C3=2,"โท",IF(หลักสูตร!C3=3,"เอก","")))</f>
        <v>ตรี</v>
      </c>
      <c r="F2" s="36"/>
      <c r="G2" s="36"/>
    </row>
    <row r="3" spans="1:7" ht="29.25" thickBot="1" x14ac:dyDescent="0.5">
      <c r="A3" s="233" t="s">
        <v>35</v>
      </c>
      <c r="B3" s="233"/>
      <c r="C3" s="233"/>
      <c r="D3" s="233"/>
      <c r="E3" s="233"/>
      <c r="F3" s="233"/>
      <c r="G3" s="233"/>
    </row>
    <row r="4" spans="1:7" ht="23.25" x14ac:dyDescent="0.25">
      <c r="A4" s="234" t="s">
        <v>36</v>
      </c>
      <c r="B4" s="237" t="s">
        <v>37</v>
      </c>
      <c r="C4" s="237" t="s">
        <v>38</v>
      </c>
      <c r="D4" s="237" t="s">
        <v>39</v>
      </c>
      <c r="E4" s="237" t="s">
        <v>40</v>
      </c>
      <c r="F4" s="240" t="s">
        <v>41</v>
      </c>
      <c r="G4" s="110" t="s">
        <v>42</v>
      </c>
    </row>
    <row r="5" spans="1:7" ht="15.75" x14ac:dyDescent="0.25">
      <c r="A5" s="235"/>
      <c r="B5" s="238"/>
      <c r="C5" s="238"/>
      <c r="D5" s="238"/>
      <c r="E5" s="238"/>
      <c r="F5" s="241"/>
      <c r="G5" s="111" t="s">
        <v>43</v>
      </c>
    </row>
    <row r="6" spans="1:7" ht="15.75" x14ac:dyDescent="0.25">
      <c r="A6" s="235"/>
      <c r="B6" s="238"/>
      <c r="C6" s="238"/>
      <c r="D6" s="238"/>
      <c r="E6" s="238"/>
      <c r="F6" s="241"/>
      <c r="G6" s="111" t="s">
        <v>44</v>
      </c>
    </row>
    <row r="7" spans="1:7" ht="15.75" x14ac:dyDescent="0.25">
      <c r="A7" s="235"/>
      <c r="B7" s="238"/>
      <c r="C7" s="238"/>
      <c r="D7" s="238"/>
      <c r="E7" s="238"/>
      <c r="F7" s="241"/>
      <c r="G7" s="111" t="s">
        <v>45</v>
      </c>
    </row>
    <row r="8" spans="1:7" ht="16.5" thickBot="1" x14ac:dyDescent="0.3">
      <c r="A8" s="236"/>
      <c r="B8" s="239"/>
      <c r="C8" s="239"/>
      <c r="D8" s="239"/>
      <c r="E8" s="239"/>
      <c r="F8" s="242"/>
      <c r="G8" s="112" t="s">
        <v>46</v>
      </c>
    </row>
    <row r="9" spans="1:7" ht="24.95" customHeight="1" thickTop="1" x14ac:dyDescent="0.25">
      <c r="A9" s="245">
        <v>1</v>
      </c>
      <c r="B9" s="247" t="s">
        <v>61</v>
      </c>
      <c r="C9" s="249" t="str">
        <f>IF(หลักสูตร!K7="ไม่ผ่าน","ไม่ผ่านการประเมิน",IF(AND(หลักสูตร!B45="หลักสูตรเป็นไปตามกรอบมาตรฐานคุณวุฒิ",หลักสูตร!I42&gt;=80),"หลักสูตรเป็นไปตามกรอบมาตรฐานคุณวุฒิ",IF(หลักสูตร!B45="หลักสูตรเป็นไปตามเกณฑ์มาตรฐาน 2558",หลักสูตร!B45,"")))</f>
        <v/>
      </c>
      <c r="D9" s="250"/>
      <c r="E9" s="251"/>
      <c r="F9" s="255"/>
      <c r="G9" s="228" t="str">
        <f>IF(C9="ไม่ผ่านการประเมิน","หลักสูตรไม่ได้มาตรฐาน",IF(หลักสูตร!B45="","",หลักสูตร!B45))</f>
        <v/>
      </c>
    </row>
    <row r="10" spans="1:7" ht="24.95" customHeight="1" thickBot="1" x14ac:dyDescent="0.3">
      <c r="A10" s="246"/>
      <c r="B10" s="248"/>
      <c r="C10" s="252"/>
      <c r="D10" s="253"/>
      <c r="E10" s="254"/>
      <c r="F10" s="256"/>
      <c r="G10" s="229"/>
    </row>
    <row r="11" spans="1:7" ht="27" thickBot="1" x14ac:dyDescent="0.3">
      <c r="A11" s="39">
        <v>2</v>
      </c>
      <c r="B11" s="39">
        <v>2</v>
      </c>
      <c r="C11" s="40" t="s">
        <v>47</v>
      </c>
      <c r="D11" s="40" t="s">
        <v>47</v>
      </c>
      <c r="E11" s="41" t="str">
        <f>IF(COUNTIF(หลักสูตร!K9:K16,"")=8,"",IF(หลักสูตร!C3=1,IF(AND(หลักสูตร!K9="",หลักสูตร!K11=""),"ไม่มีผู้จบ",AVERAGE(หลักสูตร!K9,หลักสูตร!K11)),IF(หลักสูตร!C3=2,IF(AND(หลักสูตร!K9="",หลักสูตร!K13=""),"ไม่มีผู้จบ",AVERAGE(หลักสูตร!K9,หลักสูตร!K13)),IF(หลักสูตร!C3=3,IF(AND(หลักสูตร!K9="",หลักสูตร!K15=""),"ไม่มีผู้จบ",AVERAGE(หลักสูตร!K9,หลักสูตร!K15)),""))))</f>
        <v/>
      </c>
      <c r="F11" s="41" t="str">
        <f>E11</f>
        <v/>
      </c>
      <c r="G11" s="103" t="str">
        <f>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</f>
        <v/>
      </c>
    </row>
    <row r="12" spans="1:7" ht="27" thickBot="1" x14ac:dyDescent="0.3">
      <c r="A12" s="42">
        <v>3</v>
      </c>
      <c r="B12" s="42">
        <v>3</v>
      </c>
      <c r="C12" s="43" t="str">
        <f>IF(AND(หลักสูตร!K17="",หลักสูตร!K18="",หลักสูตร!K19=""),"",AVERAGE(หลักสูตร!K17,หลักสูตร!K18,หลักสูตร!K19))</f>
        <v/>
      </c>
      <c r="D12" s="44" t="s">
        <v>47</v>
      </c>
      <c r="E12" s="44" t="s">
        <v>47</v>
      </c>
      <c r="F12" s="45" t="str">
        <f>IF(AND(หลักสูตร!K17="",หลักสูตร!K18="",หลักสูตร!K19=""),"",AVERAGE(หลักสูตร!K17:K19))</f>
        <v/>
      </c>
      <c r="G12" s="104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/>
      </c>
    </row>
    <row r="13" spans="1:7" ht="27" thickBot="1" x14ac:dyDescent="0.3">
      <c r="A13" s="46">
        <v>4</v>
      </c>
      <c r="B13" s="46">
        <v>3</v>
      </c>
      <c r="C13" s="47" t="str">
        <f>IF(COUNT(หลักสูตร!K20,หลักสูตร!K22,หลักสูตร!K26,หลักสูตร!K30,หลักสูตร!K36)=0,"",IF(หลักสูตร!C3=1,AVERAGE(หลักสูตร!K20,หลักสูตร!K22,หลักสูตร!K36),IF(หลักสูตร!C3=2,AVERAGE(หลักสูตร!K20,หลักสูตร!K26,หลักสูตร!K36),IF(หลักสูตร!C3=3,AVERAGE(หลักสูตร!K20,หลักสูตร!K30,หลักสูตร!K36),""))))</f>
        <v/>
      </c>
      <c r="D13" s="47" t="s">
        <v>47</v>
      </c>
      <c r="E13" s="47" t="s">
        <v>47</v>
      </c>
      <c r="F13" s="48" t="str">
        <f>IF(COUNT(หลักสูตร!K20,หลักสูตร!K22,หลักสูตร!K26,หลักสูตร!K30,หลักสูตร!K36)=0,"",AVERAGE(หลักสูตร!K20,หลักสูตร!K22,หลักสูตร!K26,หลักสูตร!K30,หลักสูตร!K36))</f>
        <v/>
      </c>
      <c r="G13" s="105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/>
      </c>
    </row>
    <row r="14" spans="1:7" ht="27" thickBot="1" x14ac:dyDescent="0.3">
      <c r="A14" s="49">
        <v>5</v>
      </c>
      <c r="B14" s="49">
        <v>4</v>
      </c>
      <c r="C14" s="50" t="str">
        <f>หลักสูตร!K37</f>
        <v/>
      </c>
      <c r="D14" s="51" t="str">
        <f>IF(AND(หลักสูตร!K38="",หลักสูตร!K39="",หลักสูตร!K40=""),"",AVERAGE(หลักสูตร!K38,หลักสูตร!K39,หลักสูตร!K40))</f>
        <v/>
      </c>
      <c r="E14" s="52" t="s">
        <v>47</v>
      </c>
      <c r="F14" s="53" t="str">
        <f>IF(COUNT(หลักสูตร!K37:K42)=0,"",AVERAGE(หลักสูตร!K37:K42))</f>
        <v/>
      </c>
      <c r="G14" s="106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/>
      </c>
    </row>
    <row r="15" spans="1:7" ht="27" thickBot="1" x14ac:dyDescent="0.3">
      <c r="A15" s="39">
        <v>6</v>
      </c>
      <c r="B15" s="39">
        <v>1</v>
      </c>
      <c r="C15" s="40" t="s">
        <v>47</v>
      </c>
      <c r="D15" s="54" t="str">
        <f>หลักสูตร!K43</f>
        <v/>
      </c>
      <c r="E15" s="40" t="s">
        <v>47</v>
      </c>
      <c r="F15" s="41" t="str">
        <f>หลักสูตร!K43</f>
        <v/>
      </c>
      <c r="G15" s="107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/>
      </c>
    </row>
    <row r="16" spans="1:7" ht="27" thickBot="1" x14ac:dyDescent="0.3">
      <c r="A16" s="55" t="s">
        <v>48</v>
      </c>
      <c r="B16" s="55">
        <v>13</v>
      </c>
      <c r="C16" s="55">
        <v>7</v>
      </c>
      <c r="D16" s="55">
        <v>4</v>
      </c>
      <c r="E16" s="55">
        <v>2</v>
      </c>
      <c r="F16" s="56"/>
      <c r="G16" s="108"/>
    </row>
    <row r="17" spans="1:9" ht="27" thickBot="1" x14ac:dyDescent="0.3">
      <c r="A17" s="230" t="s">
        <v>49</v>
      </c>
      <c r="B17" s="231"/>
      <c r="C17" s="57" t="str">
        <f>IF(COUNT(หลักสูตร!K17:K20,หลักสูตร!K22,หลักสูตร!K26,หลักสูตร!K30,หลักสูตร!K36:K37)=0,"",AVERAGE(หลักสูตร!K17:K20,หลักสูตร!K22,หลักสูตร!K26,หลักสูตร!K30,หลักสูตร!K36:K37))</f>
        <v/>
      </c>
      <c r="D17" s="57" t="str">
        <f>IF(COUNT(หลักสูตร!K38,หลักสูตร!K39,หลักสูตร!K40,หลักสูตร!K43)=0,"",AVERAGE(หลักสูตร!K38,หลักสูตร!K39,หลักสูตร!K40,หลักสูตร!K43))</f>
        <v/>
      </c>
      <c r="E17" s="57" t="str">
        <f>E11</f>
        <v/>
      </c>
      <c r="F17" s="58" t="str">
        <f>IF(หลักสูตร!K44="","",AVERAGE(หลักสูตร!K9:K20,หลักสูตร!K22,หลักสูตร!K26,หลักสูตร!K30:K43))</f>
        <v/>
      </c>
      <c r="G17" s="109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/>
      </c>
      <c r="I17" s="59"/>
    </row>
    <row r="18" spans="1:9" ht="71.099999999999994" customHeight="1" thickBot="1" x14ac:dyDescent="0.3">
      <c r="A18" s="243" t="s">
        <v>42</v>
      </c>
      <c r="B18" s="244"/>
      <c r="C18" s="113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/>
      </c>
      <c r="D18" s="113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/>
      </c>
      <c r="E18" s="113" t="str">
        <f>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</f>
        <v/>
      </c>
      <c r="F18" s="60"/>
      <c r="G18" s="114"/>
    </row>
  </sheetData>
  <sheetProtection algorithmName="SHA-512" hashValue="f0C795FcqoWbqdVHLrfQcBhd8fxiNPO6O+mFlzN5ICUsd9jy4O/Ikm9Ce+eL9eYFR2hQggTn18AGl3j3kMVCuQ==" saltValue="N6GtlppCe1mYlmfITh2IUA==" spinCount="100000" sheet="1" objects="1" scenarios="1"/>
  <mergeCells count="15">
    <mergeCell ref="A18:B18"/>
    <mergeCell ref="A9:A10"/>
    <mergeCell ref="B9:B10"/>
    <mergeCell ref="C9:E10"/>
    <mergeCell ref="F9:F10"/>
    <mergeCell ref="G9:G10"/>
    <mergeCell ref="A17:B17"/>
    <mergeCell ref="B1:G1"/>
    <mergeCell ref="A3:G3"/>
    <mergeCell ref="A4:A8"/>
    <mergeCell ref="B4:B8"/>
    <mergeCell ref="C4:C8"/>
    <mergeCell ref="D4:D8"/>
    <mergeCell ref="E4:E8"/>
    <mergeCell ref="F4:F8"/>
  </mergeCells>
  <printOptions horizontalCentered="1"/>
  <pageMargins left="0.7" right="0.7" top="1.5" bottom="0.75" header="1" footer="0.55000000000000004"/>
  <pageSetup scale="95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หลักสูตร</vt:lpstr>
      <vt:lpstr>ผลวิเคราะห์</vt:lpstr>
      <vt:lpstr>หลักสูตร!Print_Area</vt:lpstr>
      <vt:lpstr>หลักสูตร!Print_Titles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2015-11-13T01:53:55Z</cp:lastPrinted>
  <dcterms:created xsi:type="dcterms:W3CDTF">2015-11-04T03:38:43Z</dcterms:created>
  <dcterms:modified xsi:type="dcterms:W3CDTF">2016-06-01T15:11:51Z</dcterms:modified>
</cp:coreProperties>
</file>